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9.jpeg" ContentType="image/jpeg"/>
  <Override PartName="/xl/media/image10.jpeg" ContentType="image/jpeg"/>
  <Override PartName="/xl/media/image11.jpeg" ContentType="image/jpeg"/>
  <Override PartName="/xl/media/image12.jpeg" ContentType="image/jpeg"/>
  <Override PartName="/xl/media/image13.jpeg" ContentType="image/jpeg"/>
  <Override PartName="/xl/media/image14.jpeg" ContentType="image/jpeg"/>
  <Override PartName="/xl/media/image15.jpeg" ContentType="image/jpeg"/>
  <Override PartName="/xl/media/image16.jpeg" ContentType="image/jpeg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drawing7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Memória de Cálculo" sheetId="2" state="visible" r:id="rId3"/>
    <sheet name="Orçamento Resumo" sheetId="3" state="visible" r:id="rId4"/>
    <sheet name="Composições " sheetId="4" state="visible" r:id="rId5"/>
    <sheet name="Cotações" sheetId="5" state="visible" r:id="rId6"/>
    <sheet name="BDI" sheetId="6" state="visible" r:id="rId7"/>
    <sheet name="Cronograma" sheetId="7" state="visible" r:id="rId8"/>
    <sheet name="Curva ABC" sheetId="8" state="visible" r:id="rId9"/>
  </sheets>
  <definedNames>
    <definedName function="false" hidden="false" localSheetId="5" name="_xlnm.Print_Area" vbProcedure="false">BDI!$C$2:$D$28</definedName>
    <definedName function="false" hidden="false" localSheetId="3" name="_xlnm.Print_Area" vbProcedure="false">'Composições '!$B$1:$G$433</definedName>
    <definedName function="false" hidden="false" localSheetId="6" name="_xlnm.Print_Area" vbProcedure="false">Cronograma!$B$1:$S$15</definedName>
    <definedName function="false" hidden="false" localSheetId="7" name="_xlnm.Print_Area" vbProcedure="false">'Curva ABC'!$A$1:$G$63</definedName>
    <definedName function="false" hidden="false" localSheetId="1" name="_xlnm.Print_Area" vbProcedure="false">'Memória de Cálculo'!$A$1:$G$891</definedName>
    <definedName function="false" hidden="false" localSheetId="0" name="_xlnm.Print_Area" vbProcedure="false">'Orçamento Sintético'!$A$1:$G$68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<sst xmlns="http://schemas.openxmlformats.org/spreadsheetml/2006/main" count="2158" uniqueCount="656">
  <si>
    <t xml:space="preserve">ORÇAMENTO SINTÉTICO</t>
  </si>
  <si>
    <t xml:space="preserve">OBRA:</t>
  </si>
  <si>
    <t xml:space="preserve">RECUPERAÇÃO ESTRUTURAL DAS LAJES DO AUDITÓRIO E DA ESCADA DO SEXTO ANDAR DO EDIFÍCIO DO TRIBUNAL REGIONAL ELEITORAL DA PARAÍBA</t>
  </si>
  <si>
    <t xml:space="preserve">LOCAL: </t>
  </si>
  <si>
    <t xml:space="preserve">AV. PRINCESA ISABEL, 201, BAIRRO TAMBIÁ, JOÃO PESSOA - PB</t>
  </si>
  <si>
    <t xml:space="preserve">REF: </t>
  </si>
  <si>
    <t xml:space="preserve">NOVEMBRO/2019</t>
  </si>
  <si>
    <t xml:space="preserve">BDI: </t>
  </si>
  <si>
    <t xml:space="preserve">ITEM</t>
  </si>
  <si>
    <t xml:space="preserve">CÓDIGO</t>
  </si>
  <si>
    <t xml:space="preserve">DISCRIMINAÇÃO</t>
  </si>
  <si>
    <t xml:space="preserve">UNID</t>
  </si>
  <si>
    <t xml:space="preserve">QUANT</t>
  </si>
  <si>
    <t xml:space="preserve">PREÇO UNITARIO (R$) </t>
  </si>
  <si>
    <t xml:space="preserve">VALOR    TOTAL(R$)</t>
  </si>
  <si>
    <t xml:space="preserve">SERVIÇOS PRELIMINARES</t>
  </si>
  <si>
    <t xml:space="preserve">1.1</t>
  </si>
  <si>
    <t xml:space="preserve">M²</t>
  </si>
  <si>
    <t xml:space="preserve">1.2</t>
  </si>
  <si>
    <t xml:space="preserve">Und</t>
  </si>
  <si>
    <t xml:space="preserve">1.3</t>
  </si>
  <si>
    <t xml:space="preserve">M</t>
  </si>
  <si>
    <t xml:space="preserve">1.4</t>
  </si>
  <si>
    <t xml:space="preserve">1.5</t>
  </si>
  <si>
    <t xml:space="preserve">1.6</t>
  </si>
  <si>
    <t xml:space="preserve">1.7</t>
  </si>
  <si>
    <t xml:space="preserve">CREA/PB</t>
  </si>
  <si>
    <t xml:space="preserve">ART de execução da obra</t>
  </si>
  <si>
    <t xml:space="preserve">1.8</t>
  </si>
  <si>
    <t xml:space="preserve">1.9</t>
  </si>
  <si>
    <t xml:space="preserve">1.10</t>
  </si>
  <si>
    <t xml:space="preserve">1.11</t>
  </si>
  <si>
    <t xml:space="preserve">ESTRUTURA/RECUPERAÇÃO</t>
  </si>
  <si>
    <t xml:space="preserve">2.1</t>
  </si>
  <si>
    <t xml:space="preserve">2.2</t>
  </si>
  <si>
    <t xml:space="preserve">M³</t>
  </si>
  <si>
    <t xml:space="preserve">2.3</t>
  </si>
  <si>
    <t xml:space="preserve">M²XMÊS</t>
  </si>
  <si>
    <t xml:space="preserve">2.4</t>
  </si>
  <si>
    <t xml:space="preserve">2.5</t>
  </si>
  <si>
    <t xml:space="preserve">2.6</t>
  </si>
  <si>
    <t xml:space="preserve">2.7</t>
  </si>
  <si>
    <t xml:space="preserve">2.8</t>
  </si>
  <si>
    <t xml:space="preserve">2.9</t>
  </si>
  <si>
    <t xml:space="preserve">2.10</t>
  </si>
  <si>
    <t xml:space="preserve">Kg</t>
  </si>
  <si>
    <t xml:space="preserve">2.11</t>
  </si>
  <si>
    <t xml:space="preserve">2.12</t>
  </si>
  <si>
    <t xml:space="preserve">2.13</t>
  </si>
  <si>
    <t xml:space="preserve">2.14</t>
  </si>
  <si>
    <t xml:space="preserve">2.15</t>
  </si>
  <si>
    <t xml:space="preserve">2.16</t>
  </si>
  <si>
    <t xml:space="preserve">2.17</t>
  </si>
  <si>
    <t xml:space="preserve">2.18</t>
  </si>
  <si>
    <t xml:space="preserve">2.19</t>
  </si>
  <si>
    <t xml:space="preserve">2.20</t>
  </si>
  <si>
    <t xml:space="preserve">2.21</t>
  </si>
  <si>
    <t xml:space="preserve">2.22</t>
  </si>
  <si>
    <t xml:space="preserve">INSTALAÇÕES HIDROSSANITÁRIAS</t>
  </si>
  <si>
    <t xml:space="preserve">3.1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</si>
  <si>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</si>
  <si>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</si>
  <si>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</si>
  <si>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</si>
  <si>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</si>
  <si>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m</t>
  </si>
  <si>
    <t xml:space="preserve">IMPERMEABILIZAÇÃO COM CRISTALIZANTE</t>
  </si>
  <si>
    <t xml:space="preserve">4.1</t>
  </si>
  <si>
    <t xml:space="preserve">SERVIÇOS COMPLEMENTARES</t>
  </si>
  <si>
    <t xml:space="preserve">5.1</t>
  </si>
  <si>
    <t xml:space="preserve">5.2</t>
  </si>
  <si>
    <t xml:space="preserve">5.3</t>
  </si>
  <si>
    <t xml:space="preserve">5.4</t>
  </si>
  <si>
    <t xml:space="preserve">kgxkm</t>
  </si>
  <si>
    <t xml:space="preserve">5.5</t>
  </si>
  <si>
    <t xml:space="preserve">5.6</t>
  </si>
  <si>
    <t xml:space="preserve">Aluguel de caçamba estacionária adaptável para poliguindaste, por até 5 dias corridos, com capacidade de 5 m³, para remoção de metralha e entulho provenientes de construção (incluso emissão de CTR) </t>
  </si>
  <si>
    <t xml:space="preserve">5.7</t>
  </si>
  <si>
    <t xml:space="preserve">ADMINISTRAÇÃO LOCAL</t>
  </si>
  <si>
    <t xml:space="preserve">6.1</t>
  </si>
  <si>
    <t xml:space="preserve">6.2</t>
  </si>
  <si>
    <t xml:space="preserve">COTAÇÃO</t>
  </si>
  <si>
    <t xml:space="preserve">PCMAT</t>
  </si>
  <si>
    <t xml:space="preserve">6.3</t>
  </si>
  <si>
    <t xml:space="preserve">Plano de gerenciamento de resíduos sólidos</t>
  </si>
  <si>
    <t xml:space="preserve">6.4</t>
  </si>
  <si>
    <t xml:space="preserve">TOTAL PARCIAL:</t>
  </si>
  <si>
    <t xml:space="preserve">BDI (31,27%):</t>
  </si>
  <si>
    <t xml:space="preserve">TOTAL:</t>
  </si>
  <si>
    <t xml:space="preserve">MEMÓRIA DE CÁLCULO</t>
  </si>
  <si>
    <t xml:space="preserve">OBRA: RECUPERAÇÃO ESTRUTURAL DAS LAJES DO AUDITÓRIO E DA ESCADA DO EDIFÍCIO DO TRIBUNAL REGIONAL ELEITORAL DA PARAÍBA</t>
  </si>
  <si>
    <t xml:space="preserve">LOCAL</t>
  </si>
  <si>
    <t xml:space="preserve">QUANT (und)</t>
  </si>
  <si>
    <t xml:space="preserve">ALTURA(m)</t>
  </si>
  <si>
    <t xml:space="preserve">COMPRIMENTO(m)</t>
  </si>
  <si>
    <t xml:space="preserve">DESCONTO(m2)</t>
  </si>
  <si>
    <t xml:space="preserve">ÁREA(m2)</t>
  </si>
  <si>
    <t xml:space="preserve">EM LOCAL VISÍVEL POR TODOS</t>
  </si>
  <si>
    <t xml:space="preserve">ÁREA TOTAL (M2)</t>
  </si>
  <si>
    <t xml:space="preserve">DESCONTOS</t>
  </si>
  <si>
    <t xml:space="preserve">UNIDADE</t>
  </si>
  <si>
    <t xml:space="preserve">AUDITÓRIO - LAJE 1</t>
  </si>
  <si>
    <t xml:space="preserve">AUDITÓRIO - LAJE 2</t>
  </si>
  <si>
    <t xml:space="preserve">AUDITÓRIO - LAJE 3</t>
  </si>
  <si>
    <t xml:space="preserve">AUDITÓRIO - LAJE 4</t>
  </si>
  <si>
    <t xml:space="preserve">AUDITÓRIO - LAJE 5</t>
  </si>
  <si>
    <t xml:space="preserve">AUDITÓRIO - LAJE 6</t>
  </si>
  <si>
    <t xml:space="preserve">ESCADA - LAJE 1 E 2</t>
  </si>
  <si>
    <t xml:space="preserve">UNIDADE TOTAL</t>
  </si>
  <si>
    <t xml:space="preserve">QUANT.</t>
  </si>
  <si>
    <t xml:space="preserve">LARGURA(m)</t>
  </si>
  <si>
    <t xml:space="preserve">AUDITÓRIO</t>
  </si>
  <si>
    <t xml:space="preserve">COMPRIMENTO TOTAL (M)</t>
  </si>
  <si>
    <t xml:space="preserve">ESCADA</t>
  </si>
  <si>
    <t xml:space="preserve">OBRA</t>
  </si>
  <si>
    <t xml:space="preserve">UNIDADE TOTAL (M)</t>
  </si>
  <si>
    <t xml:space="preserve">CIRCULAÇÃO</t>
  </si>
  <si>
    <t xml:space="preserve">HALL DE ENTRADA DA ESCADA</t>
  </si>
  <si>
    <t xml:space="preserve">AREA TOTAL(M2)</t>
  </si>
  <si>
    <t xml:space="preserve">AUDITÓRIO - PAREDE</t>
  </si>
  <si>
    <t xml:space="preserve">HALL DE ENTRADA DA ESCADA - PAREDE</t>
  </si>
  <si>
    <t xml:space="preserve">ESCADA - PAREDE</t>
  </si>
  <si>
    <t xml:space="preserve">AUDITÓRIO - PISO</t>
  </si>
  <si>
    <t xml:space="preserve">HALL DE ENTRADA DA ESCADA - PISO</t>
  </si>
  <si>
    <t xml:space="preserve">ESCADA - PISO</t>
  </si>
  <si>
    <t xml:space="preserve">ESTRUTURA/REPARO</t>
  </si>
  <si>
    <t xml:space="preserve">AUDITÓRIO LAJE 1</t>
  </si>
  <si>
    <t xml:space="preserve">AUDITÓRIO LAJE 2</t>
  </si>
  <si>
    <t xml:space="preserve">AUDITÓRIO LAJE 3</t>
  </si>
  <si>
    <t xml:space="preserve">AUDITÓRIO LAJE 4</t>
  </si>
  <si>
    <t xml:space="preserve">AUDITÓRIO LAJE 5</t>
  </si>
  <si>
    <t xml:space="preserve">AUDITÓRIO LAJE 6</t>
  </si>
  <si>
    <t xml:space="preserve">ESCADA LAJE 1</t>
  </si>
  <si>
    <t xml:space="preserve">ESCADA LAJE 2</t>
  </si>
  <si>
    <t xml:space="preserve">V18A</t>
  </si>
  <si>
    <t xml:space="preserve">V18B</t>
  </si>
  <si>
    <t xml:space="preserve">V02</t>
  </si>
  <si>
    <t xml:space="preserve">V24</t>
  </si>
  <si>
    <t xml:space="preserve">V21</t>
  </si>
  <si>
    <t xml:space="preserve">VOLUME(m3)</t>
  </si>
  <si>
    <t xml:space="preserve">VOLUME TOTAL(M3)</t>
  </si>
  <si>
    <t xml:space="preserve">TEMPO (mês)</t>
  </si>
  <si>
    <t xml:space="preserve">M2XMÊS</t>
  </si>
  <si>
    <t xml:space="preserve">LAJE DO AUDITORIO</t>
  </si>
  <si>
    <t xml:space="preserve">M2XMÊS TOTAL</t>
  </si>
  <si>
    <t xml:space="preserve">LAJES</t>
  </si>
  <si>
    <t xml:space="preserve">CUBETAS - LAJE 1</t>
  </si>
  <si>
    <t xml:space="preserve">CUBETAS - LAJE 2</t>
  </si>
  <si>
    <t xml:space="preserve">CUBETAS - LAJE 3</t>
  </si>
  <si>
    <t xml:space="preserve">CUBETAS - LAJE 4</t>
  </si>
  <si>
    <t xml:space="preserve">CUBETAS - LAJE 5</t>
  </si>
  <si>
    <t xml:space="preserve">CUBETAS - LAJE 6</t>
  </si>
  <si>
    <t xml:space="preserve">CUBETAS ESCADA - LAJE 1 E 2</t>
  </si>
  <si>
    <t xml:space="preserve">TRELIÇAS AUDITÓRIO - LAJE 1</t>
  </si>
  <si>
    <t xml:space="preserve">TRELIÇAS AUDITÓRIO - LAJE 2</t>
  </si>
  <si>
    <t xml:space="preserve">TRELIÇAS AUDITÓRIO - LAJE 3</t>
  </si>
  <si>
    <t xml:space="preserve">TRELIÇAS AUDITÓRIO - LAJE 4</t>
  </si>
  <si>
    <t xml:space="preserve">TRELIÇAS AUDITÓRIO - LAJE 5</t>
  </si>
  <si>
    <t xml:space="preserve">TRELIÇAS AUDITÓRIO - LAJE 6</t>
  </si>
  <si>
    <t xml:space="preserve">TRELIÇAS ESCADA - LAJE 1</t>
  </si>
  <si>
    <t xml:space="preserve">TRELIÇAS ESCADA - LAJE 2</t>
  </si>
  <si>
    <t xml:space="preserve">VIGAS DO AUDITÓRIO</t>
  </si>
  <si>
    <t xml:space="preserve">V02A</t>
  </si>
  <si>
    <t xml:space="preserve">DESCONTOS(m)</t>
  </si>
  <si>
    <t xml:space="preserve">COMPRIMENTO (M)</t>
  </si>
  <si>
    <t xml:space="preserve">SENTIDO DA ARMADURA PRINCIPAL</t>
  </si>
  <si>
    <t xml:space="preserve">ESCADA - LAJE 1</t>
  </si>
  <si>
    <t xml:space="preserve">ESCADA - LAJE 2</t>
  </si>
  <si>
    <t xml:space="preserve">SENTIDO DA ARMADURA SECUNDÁRIA</t>
  </si>
  <si>
    <t xml:space="preserve">V18A - ARMAÇÃO LONGITUDINAL</t>
  </si>
  <si>
    <t xml:space="preserve">V18A  - ESTRIBO</t>
  </si>
  <si>
    <t xml:space="preserve">V18B - ARMAÇÃO LONGITUDINAL</t>
  </si>
  <si>
    <t xml:space="preserve">V18B  - ESTRIBO</t>
  </si>
  <si>
    <t xml:space="preserve">V02A - ARMAÇÃO LONGITUDINAL</t>
  </si>
  <si>
    <t xml:space="preserve">V02A - ESTRIBO</t>
  </si>
  <si>
    <t xml:space="preserve">COMPRIMENTO TOTAL(M)</t>
  </si>
  <si>
    <t xml:space="preserve">ÁREA (M2)</t>
  </si>
  <si>
    <t xml:space="preserve">V1</t>
  </si>
  <si>
    <t xml:space="preserve">V2</t>
  </si>
  <si>
    <t xml:space="preserve">V3</t>
  </si>
  <si>
    <t xml:space="preserve">V28</t>
  </si>
  <si>
    <t xml:space="preserve">V18</t>
  </si>
  <si>
    <t xml:space="preserve">VIGAS DA ESCADA</t>
  </si>
  <si>
    <t xml:space="preserve">V6</t>
  </si>
  <si>
    <t xml:space="preserve">V13</t>
  </si>
  <si>
    <t xml:space="preserve">V5</t>
  </si>
  <si>
    <t xml:space="preserve">V12A</t>
  </si>
  <si>
    <t xml:space="preserve">V12B</t>
  </si>
  <si>
    <t xml:space="preserve">V10</t>
  </si>
  <si>
    <t xml:space="preserve">ÁREA TOTAL(M2)</t>
  </si>
  <si>
    <t xml:space="preserve">ETAPA</t>
  </si>
  <si>
    <t xml:space="preserve">ÁREA(M2)</t>
  </si>
  <si>
    <t xml:space="preserve">APÓS ESCARIFICAÇÃO DO CONCRETO E ESCOVAÇÃO DA ARMADURA</t>
  </si>
  <si>
    <t xml:space="preserve">ANTES DA IMPERMEABILIZAÇÃO POR CRISTALIZANTE</t>
  </si>
  <si>
    <t xml:space="preserve">UND</t>
  </si>
  <si>
    <t xml:space="preserve">AUDITÓRIO - LAJE 1 </t>
  </si>
  <si>
    <t xml:space="preserve">UND TOTAL</t>
  </si>
  <si>
    <t xml:space="preserve">FATOR DE CONVERSÃO(KG/M)</t>
  </si>
  <si>
    <t xml:space="preserve">PESO (Kg)</t>
  </si>
  <si>
    <t xml:space="preserve">AUDITÓRIO - LAJE 1 - ARMAÇÃO PRINCIPAL</t>
  </si>
  <si>
    <t xml:space="preserve">AUDITÓRIO - LAJE 1 - ARMAÇÃO SECUNDÁRIA</t>
  </si>
  <si>
    <t xml:space="preserve">AUDITÓRIO - LAJE 2 - ARMAÇÃO PRINCIPAL</t>
  </si>
  <si>
    <t xml:space="preserve">AUDITÓRIO - LAJE 2 - ARMAÇÃO SECUNDÁRIA</t>
  </si>
  <si>
    <t xml:space="preserve">AUDITÓRIO - LAJE 3 - ARMAÇÃO PRINCIPAL</t>
  </si>
  <si>
    <t xml:space="preserve">AUDITÓRIO - LAJE 3 - ARMAÇÃO SECUNDÁRIA</t>
  </si>
  <si>
    <t xml:space="preserve">AUDITÓRIO - LAJE 4 - ARMAÇÃO PRINCIPAL</t>
  </si>
  <si>
    <t xml:space="preserve">AUDITÓRIO - LAJE 4 - ARMAÇÃO SECUNDÁRIA</t>
  </si>
  <si>
    <t xml:space="preserve">AUDITÓRIO - LAJE 5 - ARMAÇÃO PRINCIPAL</t>
  </si>
  <si>
    <t xml:space="preserve">AUDITÓRIO - LAJE 5 - ARMAÇÃO SECUNDÁRIA </t>
  </si>
  <si>
    <t xml:space="preserve">AUDITÓRIO - LAJE 6 - ARMAÇÃO PRINCIPAL</t>
  </si>
  <si>
    <t xml:space="preserve">AUDITÓRIO - LAJE 6 - ARMAÇÃO SECUNDÁRIA </t>
  </si>
  <si>
    <t xml:space="preserve">ESCADA - LAJE 1 - ARMAÇÃO SECUNDÁRIA</t>
  </si>
  <si>
    <t xml:space="preserve">ESCADA - LAJE 1 - ARMAÇÃO PRINCIPAL</t>
  </si>
  <si>
    <t xml:space="preserve">ESCADA - LAJE 2 - ARMAÇÃO SECUNDÁRIA</t>
  </si>
  <si>
    <t xml:space="preserve">ESCADA - LAJE 2 - ARMAÇÃO PRINCIPAL</t>
  </si>
  <si>
    <t xml:space="preserve">PESO TOTAL(KG)</t>
  </si>
  <si>
    <t xml:space="preserve">PERÍMETRO(m)</t>
  </si>
  <si>
    <t xml:space="preserve">PROFUNDIDADE(m)</t>
  </si>
  <si>
    <t xml:space="preserve">APLICAÇÃO NA ARMADURA</t>
  </si>
  <si>
    <t xml:space="preserve">APLICAÇÃO NO FURO</t>
  </si>
  <si>
    <t xml:space="preserve">ARMADURAS NOVAS</t>
  </si>
  <si>
    <t xml:space="preserve">BITOLA 4.2 (VIDE PROJETO ESTRUTURAL)</t>
  </si>
  <si>
    <t xml:space="preserve">BITOLA 5.0 (VIDE PROJETO ESTRUTURAL)</t>
  </si>
  <si>
    <t xml:space="preserve">BITOLA 6.3 (VIDE PROJETO ESTRUTURAL)</t>
  </si>
  <si>
    <t xml:space="preserve">BITOLA 8.0 (VIDE PROJETO ESTRUTURAL)</t>
  </si>
  <si>
    <t xml:space="preserve">DESCONTOS ARMADURAS SUBSTITUÍDAS</t>
  </si>
  <si>
    <t xml:space="preserve">BITOLA 4.2 </t>
  </si>
  <si>
    <t xml:space="preserve">BITOLA 5.0 </t>
  </si>
  <si>
    <t xml:space="preserve">BITOLA 6.3 </t>
  </si>
  <si>
    <t xml:space="preserve">BITOLA 8.0 </t>
  </si>
  <si>
    <t xml:space="preserve">FORMA DAS LAJES</t>
  </si>
  <si>
    <t xml:space="preserve">FORMA DAS VIGAS DO AUDITÓRIO</t>
  </si>
  <si>
    <t xml:space="preserve">FUNIL DE ENCHIMENTO (CACHIMBO) </t>
  </si>
  <si>
    <t xml:space="preserve">ESPESSURA(m)</t>
  </si>
  <si>
    <t xml:space="preserve">LOCAIS DANIFICADOS NOS ENSAIOS</t>
  </si>
  <si>
    <t xml:space="preserve">CUBETAS</t>
  </si>
  <si>
    <t xml:space="preserve">VIGAS</t>
  </si>
  <si>
    <t xml:space="preserve">COMPRIMENTO(M)</t>
  </si>
  <si>
    <t xml:space="preserve">ÁREA TOTAL PARA 5 DEMÃOS (M2)</t>
  </si>
  <si>
    <t xml:space="preserve">V02 </t>
  </si>
  <si>
    <t xml:space="preserve">V01</t>
  </si>
  <si>
    <t xml:space="preserve">INSTALAÇÕES PLUVIAIS</t>
  </si>
  <si>
    <t xml:space="preserve">DESCRIÇÃO</t>
  </si>
  <si>
    <t xml:space="preserve">BLOCOS DE ISOPOR</t>
  </si>
  <si>
    <t xml:space="preserve">ÁREA (m2)</t>
  </si>
  <si>
    <t xml:space="preserve">ESCARIFICAÇÃO LAJES</t>
  </si>
  <si>
    <t xml:space="preserve">ESCARIFICAÇÃO VIGAS</t>
  </si>
  <si>
    <t xml:space="preserve">ELETRODUTOS</t>
  </si>
  <si>
    <t xml:space="preserve">TUBULAÇÃO DE ÁGUA PLUVIAL</t>
  </si>
  <si>
    <t xml:space="preserve">VOLUME (M3)</t>
  </si>
  <si>
    <t xml:space="preserve">FATOR DE EMPOLAMENTO PARA ENTULHO</t>
  </si>
  <si>
    <t xml:space="preserve">VOL. EFETIVO(m3)</t>
  </si>
  <si>
    <t xml:space="preserve">VOL. EMP.(m3)</t>
  </si>
  <si>
    <t xml:space="preserve">VOL. DO SACO(m3)</t>
  </si>
  <si>
    <t xml:space="preserve">TRANSPORTE DE ENTULHO</t>
  </si>
  <si>
    <t xml:space="preserve">DENSIDADE(kg/m3)</t>
  </si>
  <si>
    <t xml:space="preserve">PESO(kg)</t>
  </si>
  <si>
    <t xml:space="preserve">DISTANCIA(km)</t>
  </si>
  <si>
    <t xml:space="preserve">KGXKM TOTAL</t>
  </si>
  <si>
    <t xml:space="preserve">Obs.: A distancia média considerada foi a percorrida utilizando o elevador de serviço e a caçamba até 25 m da porta da garagem. Distância total: 99,15 metros.</t>
  </si>
  <si>
    <t xml:space="preserve">VOLUME(M3)</t>
  </si>
  <si>
    <t xml:space="preserve">VOLUM.CAMH(M3)</t>
  </si>
  <si>
    <t xml:space="preserve">UND CAÇAMBAS</t>
  </si>
  <si>
    <t xml:space="preserve">ENTULHO EMPOLADO</t>
  </si>
  <si>
    <t xml:space="preserve">QTD TOTAL DE CAÇAMBAS</t>
  </si>
  <si>
    <t xml:space="preserve">UNIDADE TOTAL (UND)</t>
  </si>
  <si>
    <t xml:space="preserve">ORÇAMENTO RESUMO</t>
  </si>
  <si>
    <t xml:space="preserve">TOTAL ITEM (R$)</t>
  </si>
  <si>
    <t xml:space="preserve">%</t>
  </si>
  <si>
    <t xml:space="preserve">BDI (31,27%)</t>
  </si>
  <si>
    <t xml:space="preserve">VALOR TOTAL(R$)</t>
  </si>
  <si>
    <t xml:space="preserve"> </t>
  </si>
  <si>
    <t xml:space="preserve">TOTAL PARCIAL</t>
  </si>
  <si>
    <t xml:space="preserve">TOTAL(R$)</t>
  </si>
  <si>
    <t xml:space="preserve">COMPOSIÇÕES</t>
  </si>
  <si>
    <t xml:space="preserve">OBRA: </t>
  </si>
  <si>
    <t xml:space="preserve">             OBRA: RECUPERAÇÃO ESTRUTURAL DAS LAJES DO AUDITÓRIO E DA ESCADA DO EDIFÍCIO DO TRIBUNAL REGIONAL ELEITORAL DA PARAÍBA</t>
  </si>
  <si>
    <t xml:space="preserve">742091/SINAPI</t>
  </si>
  <si>
    <t xml:space="preserve">Placa de obra em chapa de aco galvanizado</t>
  </si>
  <si>
    <t xml:space="preserve">Ref</t>
  </si>
  <si>
    <t xml:space="preserve">Descrição</t>
  </si>
  <si>
    <t xml:space="preserve">Unid</t>
  </si>
  <si>
    <t xml:space="preserve">Quant</t>
  </si>
  <si>
    <t xml:space="preserve">Custo Unit.</t>
  </si>
  <si>
    <t xml:space="preserve">Custo Total</t>
  </si>
  <si>
    <t xml:space="preserve">04417/SINAPI</t>
  </si>
  <si>
    <t xml:space="preserve">Sarrafo de madeira nao aparelhada *2,5 x 7* cm, macaranduba, angelim ou equivalente da regiao</t>
  </si>
  <si>
    <t xml:space="preserve">04491/SINAPI</t>
  </si>
  <si>
    <t xml:space="preserve">Pontalete de madeira nao aparelhada *7,5 x 7,5* cm (3 x 3 ") pinus, mista ou equivalente da regiao</t>
  </si>
  <si>
    <t xml:space="preserve">04813/SINAPI</t>
  </si>
  <si>
    <t xml:space="preserve">Placa de obra (para construcao civil) em chapa galvanizada *n. 22*, adesivada, de *2,0 x 1,125* m</t>
  </si>
  <si>
    <t xml:space="preserve">m2</t>
  </si>
  <si>
    <t xml:space="preserve">05075/SINAPI</t>
  </si>
  <si>
    <t xml:space="preserve">Prego de aco polido com cabeca 18 x 30 (2 3/4 x 10)</t>
  </si>
  <si>
    <t xml:space="preserve">kg</t>
  </si>
  <si>
    <t xml:space="preserve">88262/SINAPI</t>
  </si>
  <si>
    <t xml:space="preserve">Carpinteiro de formas com encargos complementares</t>
  </si>
  <si>
    <t xml:space="preserve">h</t>
  </si>
  <si>
    <t xml:space="preserve">88316/SINAPI</t>
  </si>
  <si>
    <t xml:space="preserve">Servente com encargos complementares</t>
  </si>
  <si>
    <t xml:space="preserve">94962/SINAPI</t>
  </si>
  <si>
    <t xml:space="preserve">Concreto magro para lastro, traço 1:4,5:4,5 (cimento/ areia média/ brita 1) - preparo mecânico com betoneira 400 l. </t>
  </si>
  <si>
    <t xml:space="preserve">m3</t>
  </si>
  <si>
    <t xml:space="preserve">COMP.01</t>
  </si>
  <si>
    <t xml:space="preserve">Retirada de blocos de isopor</t>
  </si>
  <si>
    <t xml:space="preserve"> 97662/SINAPI</t>
  </si>
  <si>
    <t xml:space="preserve">Remoção de tubulações (tubos e conexões) de água fria, de forma manual, sem reaproveitamento. </t>
  </si>
  <si>
    <t xml:space="preserve">88267/SINAPI</t>
  </si>
  <si>
    <t xml:space="preserve">Encanador ou bombeiro hidráulico com encargos complementares</t>
  </si>
  <si>
    <t xml:space="preserve">COMP.02</t>
  </si>
  <si>
    <t xml:space="preserve">Retirada de eletrodutos aparentes - até 2"</t>
  </si>
  <si>
    <t xml:space="preserve">88247/SINAPI</t>
  </si>
  <si>
    <t xml:space="preserve">Auxiliar de eletricista com  encargos complementares</t>
  </si>
  <si>
    <t xml:space="preserve">88264/SINAPI</t>
  </si>
  <si>
    <t xml:space="preserve">Eletricista com encargos complementares</t>
  </si>
  <si>
    <t xml:space="preserve">Composição de Referência:  096012/SIURB</t>
  </si>
  <si>
    <t xml:space="preserve">97665/SINAPI</t>
  </si>
  <si>
    <t xml:space="preserve">Remoção de luminárias, de forma manual, sem reaproveitamento.</t>
  </si>
  <si>
    <t xml:space="preserve">und</t>
  </si>
  <si>
    <t xml:space="preserve">COMP.03</t>
  </si>
  <si>
    <t xml:space="preserve">Retirada de central de ar</t>
  </si>
  <si>
    <t xml:space="preserve">88251/SINAPI</t>
  </si>
  <si>
    <t xml:space="preserve">Auxiliar de serralheiro com encargos complementares</t>
  </si>
  <si>
    <t xml:space="preserve">88315 /SINAPI</t>
  </si>
  <si>
    <t xml:space="preserve">Serralheiro com encargos complementares</t>
  </si>
  <si>
    <t xml:space="preserve">Composição de Referência:  176093/SIURB</t>
  </si>
  <si>
    <t xml:space="preserve">COMP.04</t>
  </si>
  <si>
    <t xml:space="preserve">Escoramento metálico para lajes e vigas, c/ escoras tubulares tipo "b" (h=3,30 a 4,50 m), com montagem e desmontagem</t>
  </si>
  <si>
    <t xml:space="preserve">m²</t>
  </si>
  <si>
    <t xml:space="preserve">04513/SINAPI</t>
  </si>
  <si>
    <t xml:space="preserve">Caibro de madeira nao aparelhada 5 x 5 cm (2 x 2 ") pinus, mista ou equivalente da região </t>
  </si>
  <si>
    <t xml:space="preserve">07089/ORSE</t>
  </si>
  <si>
    <t xml:space="preserve">Escora tubular convencional tipo "b" (h=3,00 à 4,50 m) c/acessórios para lajes e vigas maciças (aluguel mensal)</t>
  </si>
  <si>
    <t xml:space="preserve">u.mês</t>
  </si>
  <si>
    <t xml:space="preserve">Composição de Referência: 07631/ORSE</t>
  </si>
  <si>
    <t xml:space="preserve">COMP.05</t>
  </si>
  <si>
    <t xml:space="preserve">Cimbramento / escoramento tubular desmontável, para ponte ou viaduto, edificação civil e industrial, inclusas montagem e desmontagem</t>
  </si>
  <si>
    <t xml:space="preserve">m³</t>
  </si>
  <si>
    <t xml:space="preserve">06870/ORSE</t>
  </si>
  <si>
    <t xml:space="preserve">Tubo metálico equipado para cimbramento - locação (diâmetro da seção: 1 1/2 ")</t>
  </si>
  <si>
    <t xml:space="preserve">m/mês</t>
  </si>
  <si>
    <t xml:space="preserve">88277/SINAPI</t>
  </si>
  <si>
    <t xml:space="preserve">Montador (Tubo aço/equipamentos)  com encargos complementares</t>
  </si>
  <si>
    <t xml:space="preserve">Composição de Referência: 07307/ORSE</t>
  </si>
  <si>
    <t xml:space="preserve">COMP.06</t>
  </si>
  <si>
    <t xml:space="preserve">Andaime metálico fachadeiro - locação mensal , montagem e desmontagem</t>
  </si>
  <si>
    <t xml:space="preserve"> 
m²xmês
</t>
  </si>
  <si>
    <t xml:space="preserve">20193/SINAPI</t>
  </si>
  <si>
    <t xml:space="preserve">Locacao de andaime metalico tipo fachadeiro, largura de 1,20 m, altura por peca de 2,0 m, incluindo sapatas e itens necessarios a instalacao</t>
  </si>
  <si>
    <t xml:space="preserve">m2xmês</t>
  </si>
  <si>
    <t xml:space="preserve">88278/SINAPI</t>
  </si>
  <si>
    <t xml:space="preserve">Montador de estrutura metálica com encargos complementares</t>
  </si>
  <si>
    <t xml:space="preserve">Composição de Referência: 04740/ORSE</t>
  </si>
  <si>
    <t xml:space="preserve">COMP.07</t>
  </si>
  <si>
    <t xml:space="preserve">Preparo de substrato (superfície de concreto) por lixamento elétrico</t>
  </si>
  <si>
    <t xml:space="preserve">E9061/SICRO</t>
  </si>
  <si>
    <t xml:space="preserve">Lixadeira elétrica manual angular 2 kw</t>
  </si>
  <si>
    <t xml:space="preserve">Lixa de disco ferro 80</t>
  </si>
  <si>
    <t xml:space="preserve">fl</t>
  </si>
  <si>
    <t xml:space="preserve">88309/SINAPI</t>
  </si>
  <si>
    <t xml:space="preserve">Pedreiro com encargos complementares</t>
  </si>
  <si>
    <t xml:space="preserve">Composição de Referência: 07387/ORSE</t>
  </si>
  <si>
    <t xml:space="preserve">COMP.08</t>
  </si>
  <si>
    <t xml:space="preserve">Preparo de substrato por escarificação mecânica (corte de concreto) para espessuras de até 3,0cm</t>
  </si>
  <si>
    <t xml:space="preserve">36152/SINAPI</t>
  </si>
  <si>
    <t xml:space="preserve">Óculos de segurança contra impactos com lente incolor, armação nylon, com proteção UVA e UVB</t>
  </si>
  <si>
    <t xml:space="preserve">95258/SINAPI </t>
  </si>
  <si>
    <t xml:space="preserve">Martelo demolidor pneumático manual, 32 kg - chp diurno. af_09/2016</t>
  </si>
  <si>
    <t xml:space="preserve">39258/SINAPI</t>
  </si>
  <si>
    <t xml:space="preserve">Cabo de cobre PP Cordplast 3 x 2,5 mm2, 450/750v</t>
  </si>
  <si>
    <t xml:space="preserve">04727/ORSE</t>
  </si>
  <si>
    <t xml:space="preserve">Luva de proteção de latex</t>
  </si>
  <si>
    <t xml:space="preserve">par</t>
  </si>
  <si>
    <t xml:space="preserve">88298SINAPI</t>
  </si>
  <si>
    <t xml:space="preserve">Operador de martelete ou marteleiro com encargos complementares</t>
  </si>
  <si>
    <t xml:space="preserve">Composição de Referência: 04917/ORSE</t>
  </si>
  <si>
    <t xml:space="preserve">COMP.09</t>
  </si>
  <si>
    <t xml:space="preserve">Preparo de substrato por escarificação mecânica (corte de concreto) para espessuras acima de 3,0cm e até 6,0cm</t>
  </si>
  <si>
    <t xml:space="preserve">Martelo demolidor pneumático manual, 32 kg - chp diurno</t>
  </si>
  <si>
    <t xml:space="preserve">39258/SINAPI </t>
  </si>
  <si>
    <t xml:space="preserve">Cabo multipolar de cobre, flexivel, classe 4 ou 5, isolacao em hepr, cobertura em pvc-st2, antichama bwf-b, 0,6/1 kv, 3 condutores de 2,5 mm2</t>
  </si>
  <si>
    <t xml:space="preserve">Composição de Referência: 07946/ORSE</t>
  </si>
  <si>
    <t xml:space="preserve">COMP.10</t>
  </si>
  <si>
    <t xml:space="preserve">Escovação elétrica de armadura com escova metálica circular</t>
  </si>
  <si>
    <t xml:space="preserve">04182/ORSE</t>
  </si>
  <si>
    <t xml:space="preserve">Aluguel de lixadeira Industrial marca Bosch h = 1,21</t>
  </si>
  <si>
    <t xml:space="preserve">dia</t>
  </si>
  <si>
    <t xml:space="preserve">00012/SINAPI</t>
  </si>
  <si>
    <t xml:space="preserve">Escova de aço, com cabo, *4 X 15* fileiras de cerdas</t>
  </si>
  <si>
    <t xml:space="preserve">Composição de Referência: TCPO 03910.8.9.1</t>
  </si>
  <si>
    <t xml:space="preserve">COMP.11</t>
  </si>
  <si>
    <t xml:space="preserve">Limpeza em superficie de concreto com jateamento d'água sob pressão</t>
  </si>
  <si>
    <t xml:space="preserve">E9571/SICRO</t>
  </si>
  <si>
    <t xml:space="preserve">Caminhão tanque com capacidade de 10.000 l - 188 kW</t>
  </si>
  <si>
    <t xml:space="preserve">E9028/SICRO</t>
  </si>
  <si>
    <t xml:space="preserve">Lavadora profissional - 5,2 kW</t>
  </si>
  <si>
    <t xml:space="preserve">Composição de Referência: 3806402/SICRO</t>
  </si>
  <si>
    <t xml:space="preserve">COMP.12</t>
  </si>
  <si>
    <t xml:space="preserve">Furo em concreto com broca de vídea, utilizando martele elétrico (diâmetro até 1/2" / profundidade até 15 cm)</t>
  </si>
  <si>
    <t xml:space="preserve">E9568/SICRO</t>
  </si>
  <si>
    <t xml:space="preserve">Furadeira de impacto de 12,5 mm - 0,8kw</t>
  </si>
  <si>
    <t xml:space="preserve">E9643/SICRO</t>
  </si>
  <si>
    <t xml:space="preserve">Equipamento de pintura a ar comprimido de pistola com caneca com capacidade de 1000 ml e compressor de 1,5 kw</t>
  </si>
  <si>
    <t xml:space="preserve">M1528/SICRO</t>
  </si>
  <si>
    <t xml:space="preserve">Broca de widia - D = 12,5 mm</t>
  </si>
  <si>
    <t xml:space="preserve">88298/SINAPI</t>
  </si>
  <si>
    <t xml:space="preserve">Operador de martelete ou marteleteiro com encargos complementares</t>
  </si>
  <si>
    <t xml:space="preserve">Composição de Referência: 07948/ORSE</t>
  </si>
  <si>
    <t xml:space="preserve">92767/SINAPI</t>
  </si>
  <si>
    <t xml:space="preserve">Armação de laje de uma estrutura convencional de concreto armado em um edifício de múltiplos pavimentos utilizando aço ca-60 de 4,2 mm - montagem. </t>
  </si>
  <si>
    <t xml:space="preserve">00337/SINAPI</t>
  </si>
  <si>
    <t xml:space="preserve">Arame recozido 18 bwg, 1,25 mm (0,01 kg/m)</t>
  </si>
  <si>
    <t xml:space="preserve">39017/SINAPI</t>
  </si>
  <si>
    <t xml:space="preserve">Espacador / distanciador circular com entrada lateral, em plastico, para vergalhao *4,2 a 12,5* mm, cobrimento 20 mm</t>
  </si>
  <si>
    <t xml:space="preserve">un</t>
  </si>
  <si>
    <t xml:space="preserve">88238/SINAPI</t>
  </si>
  <si>
    <t xml:space="preserve">Ajudante de armador com encargos complementares</t>
  </si>
  <si>
    <t xml:space="preserve">88245/SINAPI</t>
  </si>
  <si>
    <t xml:space="preserve">Armador com encargos complementares</t>
  </si>
  <si>
    <t xml:space="preserve">92799/SINAPI</t>
  </si>
  <si>
    <t xml:space="preserve">Corte e dobra de aço ca-60, diâmetro de 4,2 mm, utilizado em laje. </t>
  </si>
  <si>
    <t xml:space="preserve"> 92768/SINAPI</t>
  </si>
  <si>
    <t xml:space="preserve">Armação de laje de uma estrutura convencional de concreto armado em um edifício de múltiplos pavimentos utilizando aço ca-60 de 5,0 mm - montagem.</t>
  </si>
  <si>
    <t xml:space="preserve">92800/SINAPI</t>
  </si>
  <si>
    <t xml:space="preserve">Corte e dobra de aço ca-60, diâmetro de 5,0 mm, utilizado em laje. </t>
  </si>
  <si>
    <t xml:space="preserve">92769/SINAPI</t>
  </si>
  <si>
    <t xml:space="preserve">Armação de laje de uma estrutura convencional de concreto armado em um edifício de múltiplos pavimentos utilizando aço ca-50 de 6,3 mm - montagem. </t>
  </si>
  <si>
    <t xml:space="preserve">92801/SINAPI</t>
  </si>
  <si>
    <t xml:space="preserve"> Corte e dobra de aço ca-50, diâmetro de 6,3 mm, utilizado em laje. </t>
  </si>
  <si>
    <t xml:space="preserve">92770/SINAPI</t>
  </si>
  <si>
    <t xml:space="preserve">Armação de laje de uma estrutura convencional de concreto armado em um edifício de múltiplos pavimentos utilizando aço ca-50 de 8,0 mm - montagem. </t>
  </si>
  <si>
    <t xml:space="preserve">92802/SINAPI</t>
  </si>
  <si>
    <t xml:space="preserve">Corte e dobra de aço ca-60, diâmetro de 8,0 mm, utilizado em laje. </t>
  </si>
  <si>
    <t xml:space="preserve">COMP.13</t>
  </si>
  <si>
    <t xml:space="preserve">Aplicação de adesivo estrutural base resina epoxi, Compound Adesivo, Vedacit ou similar, aplicação em chumbamento e colagem dos mais diversos materiais de construção</t>
  </si>
  <si>
    <t xml:space="preserve">00131/SINAPI</t>
  </si>
  <si>
    <t xml:space="preserve">Adesivo estrutural a base de resina epoxi, bicomponente, pastoso (tixotropico)</t>
  </si>
  <si>
    <t xml:space="preserve">Composição de Referência: 04780/ORSE</t>
  </si>
  <si>
    <t xml:space="preserve">COMP.14</t>
  </si>
  <si>
    <t xml:space="preserve">Proteção de armadura com tinta de alto teor de zinco - Nitoprimer Zn ou similar, esp:2mm</t>
  </si>
  <si>
    <t xml:space="preserve">M1570 /SICRO</t>
  </si>
  <si>
    <t xml:space="preserve">Tinta de etil silicato de zinco </t>
  </si>
  <si>
    <t xml:space="preserve">l</t>
  </si>
  <si>
    <t xml:space="preserve">Composição de Referência: 04785/ORSE</t>
  </si>
  <si>
    <t xml:space="preserve">COMP.15</t>
  </si>
  <si>
    <t xml:space="preserve">Forma para recuperação de concreto com chapas plastificadas, inclusive escoramento</t>
  </si>
  <si>
    <t xml:space="preserve">01560/ORSE</t>
  </si>
  <si>
    <t xml:space="preserve">Faixa de madeira de lei (muiracatiara) aparelhada 10 x 2,5cm (0,0025 m³/m)</t>
  </si>
  <si>
    <t xml:space="preserve">91692/SINAPI</t>
  </si>
  <si>
    <t xml:space="preserve">Serra circular de bancada com motor elétrico potência de 5hp, com coifa para disco 10" - chp diurno. </t>
  </si>
  <si>
    <t xml:space="preserve">01342/SINAPI</t>
  </si>
  <si>
    <t xml:space="preserve">Chapa de madeira compensada plastificada para forma de concreto, de 2,20 x 1,10 m, e = 14 mm</t>
  </si>
  <si>
    <t xml:space="preserve">05061/SINAPI </t>
  </si>
  <si>
    <t xml:space="preserve">Prego de aco polido com cabeca 18 x 27 (2 1/2 x 10) </t>
  </si>
  <si>
    <t xml:space="preserve">Composição de Referência: 04982/ORSE</t>
  </si>
  <si>
    <t xml:space="preserve">COMP.16</t>
  </si>
  <si>
    <t xml:space="preserve">Lançamento manual de concreto com o uso de baldes em estruturas, inclusive acabamantos</t>
  </si>
  <si>
    <t xml:space="preserve">Composição de Referência: 92873/SINAPI</t>
  </si>
  <si>
    <t xml:space="preserve">COMP.17</t>
  </si>
  <si>
    <t xml:space="preserve">Microconcreto autoadensável para reparos e grouteamento</t>
  </si>
  <si>
    <t xml:space="preserve">E9788/SICRO </t>
  </si>
  <si>
    <t xml:space="preserve">Misturador de argamassa com capacidade de 250 l - 3,7 kW</t>
  </si>
  <si>
    <t xml:space="preserve">E9071/SICRO</t>
  </si>
  <si>
    <t xml:space="preserve">Transportador manual carrinho de mão com capacidade de 80 l</t>
  </si>
  <si>
    <t xml:space="preserve">chp</t>
  </si>
  <si>
    <t xml:space="preserve">chi</t>
  </si>
  <si>
    <t xml:space="preserve">E9064/SICRO</t>
  </si>
  <si>
    <t xml:space="preserve">Transportador manual gerica com capacidade de 180 l</t>
  </si>
  <si>
    <t xml:space="preserve">M0084/SICRO</t>
  </si>
  <si>
    <t xml:space="preserve">Argamassa tipo Sika Grout autoadensável ou similar</t>
  </si>
  <si>
    <t xml:space="preserve">Argamassa tipo Sika Grout autoadensável ou similar - Caminhão  carroceria 15 t</t>
  </si>
  <si>
    <t xml:space="preserve">t</t>
  </si>
  <si>
    <t xml:space="preserve">M1103/SICRO</t>
  </si>
  <si>
    <t xml:space="preserve">Pedrisco</t>
  </si>
  <si>
    <t xml:space="preserve">Pedrisco - Caminhão basculante 10 m³</t>
  </si>
  <si>
    <t xml:space="preserve">Composição de Referência: 1108056/SICRO</t>
  </si>
  <si>
    <t xml:space="preserve">COMP.18</t>
  </si>
  <si>
    <t xml:space="preserve">Aplicação de membrana de cura química</t>
  </si>
  <si>
    <t xml:space="preserve">43064/SINAPI</t>
  </si>
  <si>
    <t xml:space="preserve">Agente de cura, protetor da evaporação da água de hidratação do concreto</t>
  </si>
  <si>
    <t xml:space="preserve">Composição de Referência: TCPO 03931.8.7.4</t>
  </si>
  <si>
    <t xml:space="preserve">COMP.19</t>
  </si>
  <si>
    <t xml:space="preserve">Corte de reparo de estruturas utilizando disco de corte diamantado</t>
  </si>
  <si>
    <t xml:space="preserve">38140/SINAPI</t>
  </si>
  <si>
    <t xml:space="preserve">Disco de corte diamantado segmentado para concreto, diametro de 110 mm, furo de 20 mm</t>
  </si>
  <si>
    <t xml:space="preserve">Composição de Referência: 03441/ORSE</t>
  </si>
  <si>
    <t xml:space="preserve">COMP.20</t>
  </si>
  <si>
    <t xml:space="preserve">Aplicação de solução realcalinizadora por difusão natural, cinco demãos, MC - ReALC ou similar</t>
  </si>
  <si>
    <t xml:space="preserve">Cotação</t>
  </si>
  <si>
    <t xml:space="preserve">Solução realcalinizadora MC - ReALC</t>
  </si>
  <si>
    <t xml:space="preserve"> 88310/SINAPI</t>
  </si>
  <si>
    <t xml:space="preserve">Pintor com encargos complementares</t>
  </si>
  <si>
    <t xml:space="preserve">Composição de Referência: 73445/SINAPI</t>
  </si>
  <si>
    <t xml:space="preserve"> COMP.21</t>
  </si>
  <si>
    <t xml:space="preserve">Restauro - Injeção de resina epoxi para tratamento de trincas</t>
  </si>
  <si>
    <t xml:space="preserve">M1392/SICRO</t>
  </si>
  <si>
    <t xml:space="preserve">Bico para injeção de adesivo estrutural à base de resina epóxi</t>
  </si>
  <si>
    <t xml:space="preserve">0157/SINAPI</t>
  </si>
  <si>
    <t xml:space="preserve">Adesivo estrutural a base de resina epóxi para injeção em trincas, bicomponente, baixa viscosidade</t>
  </si>
  <si>
    <t xml:space="preserve">Composição de Referência: 04512/ORSE</t>
  </si>
  <si>
    <t xml:space="preserve">89567/SINAPI </t>
  </si>
  <si>
    <t xml:space="preserve">Junção simples, pvc, serie r, água pluvial, dn 100 x 100 mm, junta elástica, fornecido e instalado em ramal de encaminhamento. </t>
  </si>
  <si>
    <t xml:space="preserve">00301/SINAPI</t>
  </si>
  <si>
    <t xml:space="preserve">Anel borracha para tubo esgoto predial, dn 100 mm (nbr 5688)</t>
  </si>
  <si>
    <t xml:space="preserve">20144/SINAPI</t>
  </si>
  <si>
    <t xml:space="preserve">Juncao simples, pvc serie r, dn 100 x 100 mm, para esgoto predial</t>
  </si>
  <si>
    <t xml:space="preserve">20078/SINAPI</t>
  </si>
  <si>
    <t xml:space="preserve">Pasta lubrificante para tubos e conexoes com junta elastica (uso em pvc, aco, polietileno e outros) (de *400* g)</t>
  </si>
  <si>
    <t xml:space="preserve">88248/SINAPI</t>
  </si>
  <si>
    <t xml:space="preserve">Auxiliar de encanador ou bombeiro hidráulico com encargos complementares</t>
  </si>
  <si>
    <t xml:space="preserve">89531/SINAPI </t>
  </si>
  <si>
    <t xml:space="preserve">Joelho 45 graus, pvc, serie r, água pluvial, dn 100 mm, junta elástica, fornecido e instalado em ramal de encaminhamento. </t>
  </si>
  <si>
    <t xml:space="preserve">20151/SINAPI</t>
  </si>
  <si>
    <t xml:space="preserve">Joelho, pvc serie r, 45 graus, dn 100 mm, para esgoto predial</t>
  </si>
  <si>
    <t xml:space="preserve">Pasta lubrificante para tubos e conexoes com junta elastica(uso em pvc, aco, polietileno e outros) ( de *400* g)</t>
  </si>
  <si>
    <t xml:space="preserve">89529/SINAPI</t>
  </si>
  <si>
    <t xml:space="preserve">Joelho 90 graus, pvc, serie r, água pluvial, dn 100 mm, junta elástica, fornecido e instalado em ramal de encaminhamento. </t>
  </si>
  <si>
    <t xml:space="preserve">20157/SINAPI</t>
  </si>
  <si>
    <t xml:space="preserve">Joelho, pvc serie r, 90 graus, dn 100 mm, para esgoto predial</t>
  </si>
  <si>
    <t xml:space="preserve">89554/SINAPI </t>
  </si>
  <si>
    <t xml:space="preserve">Luva simples, pvc, serie r, água pluvial, dn 100 mm, junta elástica, fornecido e instalado em ramal de encaminhamento. </t>
  </si>
  <si>
    <t xml:space="preserve">20170/SINAPI</t>
  </si>
  <si>
    <t xml:space="preserve">Luva simples, pvc serie reforcada - r, 100 mm, para esgoto predial</t>
  </si>
  <si>
    <t xml:space="preserve">89681/SINAPI </t>
  </si>
  <si>
    <t xml:space="preserve">Redução excêntrica, pvc, serie r, água pluvial, dn 150 x 100 mm, junta elástica, fornecido e instalado em condutores verticais de águas pluviais. </t>
  </si>
  <si>
    <t xml:space="preserve">00300/SINAPI</t>
  </si>
  <si>
    <t xml:space="preserve">Anel borracha, dn 150 mm, para tubo serie reforcada esgoto predial</t>
  </si>
  <si>
    <t xml:space="preserve">20047/SINAPI</t>
  </si>
  <si>
    <t xml:space="preserve">Reducao excentrica pvc, serie r, dn 150 x 100 mm, para esgoto predial</t>
  </si>
  <si>
    <t xml:space="preserve">89512/SINAPI </t>
  </si>
  <si>
    <t xml:space="preserve">Tubo pvc, série r, água pluvial, dn 100 mm, fornecido e instalado em ramal de encaminhamento.</t>
  </si>
  <si>
    <t xml:space="preserve">00122/SINAPI</t>
  </si>
  <si>
    <t xml:space="preserve">Adesivo plastico para pvc, frasco com 850 gr</t>
  </si>
  <si>
    <t xml:space="preserve">09841/SINAPI</t>
  </si>
  <si>
    <t xml:space="preserve">Tubo pvc, serie r, dn 100 mm, para esgoto ou aguas pluviaispredial (nbr 5688)</t>
  </si>
  <si>
    <t xml:space="preserve">20083/SINAPI</t>
  </si>
  <si>
    <t xml:space="preserve">Solucao limpadora para pvc, frasco com 1000 cm3</t>
  </si>
  <si>
    <t xml:space="preserve">38383/SINAPI</t>
  </si>
  <si>
    <t xml:space="preserve">Lixa d'agua em folha, grao 100</t>
  </si>
  <si>
    <t xml:space="preserve">COMP.22</t>
  </si>
  <si>
    <t xml:space="preserve">Pintura de impermeabilização com aditivo cristalizante, uma demão, PENETRON ou similar.</t>
  </si>
  <si>
    <t xml:space="preserve">Penetron - impermeabilização por cristalização</t>
  </si>
  <si>
    <t xml:space="preserve">COMP.23</t>
  </si>
  <si>
    <t xml:space="preserve">Recolocação de central de ar</t>
  </si>
  <si>
    <t xml:space="preserve">07583/SINAPI</t>
  </si>
  <si>
    <t xml:space="preserve">Bucha de nylon sem aba S8, com parafuso de 4,80 X 50 mm em aco zincado com rosca soberba, cabeça chata e fenda phillips</t>
  </si>
  <si>
    <t xml:space="preserve">Composição de Referência: 177093/SIURB</t>
  </si>
  <si>
    <t xml:space="preserve">COMP.24</t>
  </si>
  <si>
    <t xml:space="preserve">Coleta e carga manual de entulho</t>
  </si>
  <si>
    <t xml:space="preserve">Composição de Referência: 00026/ORSE</t>
  </si>
  <si>
    <t xml:space="preserve">100201/SINAPI</t>
  </si>
  <si>
    <t xml:space="preserve">Transporte horizontal com carrinho de mão</t>
  </si>
  <si>
    <t xml:space="preserve">COMP.25</t>
  </si>
  <si>
    <t xml:space="preserve">Limpeza geral</t>
  </si>
  <si>
    <t xml:space="preserve">38400/SINAPI</t>
  </si>
  <si>
    <t xml:space="preserve">Vassoura 40cm com cabo</t>
  </si>
  <si>
    <t xml:space="preserve">000016/SINAPI</t>
  </si>
  <si>
    <t xml:space="preserve">Sabão em pó</t>
  </si>
  <si>
    <t xml:space="preserve">Composição de Referência: 02450/ORSE</t>
  </si>
  <si>
    <t xml:space="preserve">COMP.26</t>
  </si>
  <si>
    <t xml:space="preserve">Administração local</t>
  </si>
  <si>
    <t xml:space="preserve">90779/SINAPI</t>
  </si>
  <si>
    <t xml:space="preserve">Engenheiro civil de obra senior com encargos complementares</t>
  </si>
  <si>
    <t xml:space="preserve">93572/SINAPI</t>
  </si>
  <si>
    <t xml:space="preserve">Encarregado geral com encargos complementares </t>
  </si>
  <si>
    <t xml:space="preserve">mês</t>
  </si>
  <si>
    <t xml:space="preserve">Referência: Acordao TCU 2622/2013</t>
  </si>
  <si>
    <t xml:space="preserve">COMP.27</t>
  </si>
  <si>
    <t xml:space="preserve">Tela para proteção em polietileno</t>
  </si>
  <si>
    <t xml:space="preserve">07170/SINAPI</t>
  </si>
  <si>
    <t xml:space="preserve">Tela de polietileno para proteção de fachada</t>
  </si>
  <si>
    <t xml:space="preserve">Composição de Referência:97062/SINAPI</t>
  </si>
  <si>
    <t xml:space="preserve">COMP.28</t>
  </si>
  <si>
    <t xml:space="preserve">Lona plástica preta - Fornecimento e instalação</t>
  </si>
  <si>
    <t xml:space="preserve"> 03777/SINAPI</t>
  </si>
  <si>
    <t xml:space="preserve">Lona plastica preta, e= 150 micra</t>
  </si>
  <si>
    <t xml:space="preserve">Composição de Referência: 03642/ORSE</t>
  </si>
  <si>
    <t xml:space="preserve">COMP.29</t>
  </si>
  <si>
    <t xml:space="preserve">Isolamento de obra com tela plastica com malha de 5mm e estrutura de madeira pontaleteada</t>
  </si>
  <si>
    <t xml:space="preserve">Tela fachadeira em polietileno, rolo de 3 x 100 m (l x c), cor branca, sem logomarca - para protecao de obras</t>
  </si>
  <si>
    <t xml:space="preserve">Composição de Referência: 85424/SINAPI</t>
  </si>
  <si>
    <t xml:space="preserve">COMP.30</t>
  </si>
  <si>
    <t xml:space="preserve">Transporte vertical de saco de entulho em elevador, até 10 lajes</t>
  </si>
  <si>
    <t xml:space="preserve">Composição de Referência: TCPO 14510.8.15</t>
  </si>
  <si>
    <t xml:space="preserve">COMP.31</t>
  </si>
  <si>
    <t xml:space="preserve">Acomodação de entulho em saco de rafia, 60X90 cm</t>
  </si>
  <si>
    <t xml:space="preserve">37526/SINAPI</t>
  </si>
  <si>
    <t xml:space="preserve">Saco de rafia para entulho, novo, liso (sem cliche), *60 x 90* cm</t>
  </si>
  <si>
    <t xml:space="preserve">Composição de Referência: 92123/SINAPI</t>
  </si>
  <si>
    <t xml:space="preserve">COMP.32</t>
  </si>
  <si>
    <t xml:space="preserve">Proteção de piso com aplicação de chapa de madeira</t>
  </si>
  <si>
    <t xml:space="preserve">34746/SINAPI</t>
  </si>
  <si>
    <t xml:space="preserve">Chapa de madeira compensada naval (com cola fenolica), e = 4 mm, de *1,60 x 2,20*m</t>
  </si>
  <si>
    <t xml:space="preserve">Composição de Referência: 23100/SBC</t>
  </si>
  <si>
    <t xml:space="preserve">COMP.33</t>
  </si>
  <si>
    <t xml:space="preserve">07962/ORSE</t>
  </si>
  <si>
    <r>
      <rPr>
        <sz val="10"/>
        <rFont val="Arial"/>
        <family val="2"/>
        <charset val="1"/>
      </rPr>
      <t xml:space="preserve">Alugel de caçamba estacionária para entulho de construção com capacidade de 5 m</t>
    </r>
    <r>
      <rPr>
        <vertAlign val="superscript"/>
        <sz val="10"/>
        <rFont val="Arial"/>
        <family val="2"/>
        <charset val="1"/>
      </rPr>
      <t xml:space="preserve">3</t>
    </r>
  </si>
  <si>
    <t xml:space="preserve">Composição de Referência: 07962/ORSE</t>
  </si>
  <si>
    <t xml:space="preserve">COMP.34</t>
  </si>
  <si>
    <t xml:space="preserve">Controle tecnológico do concreto</t>
  </si>
  <si>
    <t xml:space="preserve">12000/ORSE</t>
  </si>
  <si>
    <t xml:space="preserve">Controle tecnológico do cocnreto por rompimento de corpo de prova</t>
  </si>
  <si>
    <t xml:space="preserve">Composição de Referência: 12000/ORSE</t>
  </si>
  <si>
    <t xml:space="preserve">INSUMO</t>
  </si>
  <si>
    <t xml:space="preserve">COTAÇÃO 1</t>
  </si>
  <si>
    <t xml:space="preserve">COTAÇÃO 2</t>
  </si>
  <si>
    <t xml:space="preserve">COTAÇÃO 3</t>
  </si>
  <si>
    <t xml:space="preserve">MÉDIA</t>
  </si>
  <si>
    <t xml:space="preserve">Adesivo bianco (vedacit) - p/ chapisco, concreto e argamassa - ou similar</t>
  </si>
  <si>
    <t xml:space="preserve">CÁLCULO DO BDI</t>
  </si>
  <si>
    <t xml:space="preserve">1. COMPOSIÇÃO DO CUSTO INDIRETO (CI) QUE INCIDE SOBRE OS CUSTOS DIRETOS (CD)</t>
  </si>
  <si>
    <t xml:space="preserve">DISCRIMINAÇÃO DOS CUSTOS INDIRETOS (CI)</t>
  </si>
  <si>
    <t xml:space="preserve">PORCENTAGEM ADOTADA (%)</t>
  </si>
  <si>
    <t xml:space="preserve">Custo de Administração Central – AC</t>
  </si>
  <si>
    <t xml:space="preserve">Seguro e Garantia - SG</t>
  </si>
  <si>
    <t xml:space="preserve">Custo de Margem de Incerteza do Empreendimento – MI</t>
  </si>
  <si>
    <t xml:space="preserve">Custo Financeiro – CI</t>
  </si>
  <si>
    <t xml:space="preserve">3. COMPOSIÇÃO DO CUSTO INDIRETO (CI) QUE INCIDE SOBRE O PREÇO TOTAL DA OBRA (PT)</t>
  </si>
  <si>
    <t xml:space="preserve">Custos Tributários - Total - T</t>
  </si>
  <si>
    <t xml:space="preserve">            Contribuição Previdenciária sobre a Receita Bruta</t>
  </si>
  <si>
    <t xml:space="preserve">            Tributos Federais (PIS)</t>
  </si>
  <si>
    <t xml:space="preserve">            Tributos Federais (COFINS)</t>
  </si>
  <si>
    <t xml:space="preserve">            Tributos Estaduais</t>
  </si>
  <si>
    <t xml:space="preserve">            Tributos Municipais (ISS)</t>
  </si>
  <si>
    <t xml:space="preserve"> Margem de contribuição bruta (beneficios ou lucro) - L</t>
  </si>
  <si>
    <t xml:space="preserve">Metodologia do IBEC com lucro sobre os custos diretos totais da obra</t>
  </si>
  <si>
    <t xml:space="preserve">Fórmula do BDI (*)BDI =  ((1+ (AC+SG+MI))*(1+CI)*(1+L))/(1-T)-1</t>
  </si>
  <si>
    <t xml:space="preserve">Acordão n° 2622/2013 - TCU/PLENARIO</t>
  </si>
  <si>
    <t xml:space="preserve">4. TAXA DE BDI (BDI): </t>
  </si>
  <si>
    <t xml:space="preserve">CRONOGRAMA FÍSICO-FINANCEIRO</t>
  </si>
  <si>
    <t xml:space="preserve">                               OBRA: RECUPERAÇÃO ESTRUTURAL DAS LAJES DO AUDITÓRIO E DA ESCADA DO EDIFÍCIO DO TRIBUNAL REGIONAL ELEITORAL DA PARAÍBA</t>
  </si>
  <si>
    <t xml:space="preserve">TOTAL PARCIAL(R$)</t>
  </si>
  <si>
    <t xml:space="preserve">TOTAL C/ BDI(R$)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</si>
  <si>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</si>
  <si>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</si>
  <si>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</si>
  <si>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</si>
  <si>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</si>
  <si>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</si>
  <si>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Valor(R$)</t>
  </si>
  <si>
    <t xml:space="preserve">TOTAL GERAL</t>
  </si>
  <si>
    <t xml:space="preserve">TOTAL ACUMULADO</t>
  </si>
  <si>
    <t xml:space="preserve">CURVA ABC</t>
  </si>
  <si>
    <t xml:space="preserve">RECUPERAÇÃO ESTRUTURAL DAS LAJES DO AUDITÓRIO E DA ESCADA DO EDIFÍCIO DO TRIBUNAL REGIONAL ELEITORAL DA PARAÍBA</t>
  </si>
  <si>
    <t xml:space="preserve">CUSTO DIRETO DA OBRA:</t>
  </si>
  <si>
    <t xml:space="preserve">CRITERIOS:</t>
  </si>
  <si>
    <t xml:space="preserve">CLASSE</t>
  </si>
  <si>
    <t xml:space="preserve">CORTE</t>
  </si>
  <si>
    <t xml:space="preserve">QUANT. PROP</t>
  </si>
  <si>
    <t xml:space="preserve">VAL. PROP</t>
  </si>
  <si>
    <t xml:space="preserve">A</t>
  </si>
  <si>
    <t xml:space="preserve">B</t>
  </si>
  <si>
    <t xml:space="preserve">C</t>
  </si>
  <si>
    <t xml:space="preserve">VALOR TOTAL (R$)</t>
  </si>
  <si>
    <t xml:space="preserve">PERC. (%)</t>
  </si>
  <si>
    <t xml:space="preserve">PERC. ACUM. (R$)</t>
  </si>
</sst>
</file>

<file path=xl/styles.xml><?xml version="1.0" encoding="utf-8"?>
<styleSheet xmlns="http://schemas.openxmlformats.org/spreadsheetml/2006/main">
  <numFmts count="24">
    <numFmt numFmtId="164" formatCode="General"/>
    <numFmt numFmtId="165" formatCode="_(&quot;R$ &quot;* #,##0.00_);_(&quot;R$ &quot;* \(#,##0.00\);_(&quot;R$ &quot;* \-??_);_(@_)"/>
    <numFmt numFmtId="166" formatCode="_(&quot;R$ &quot;* #,##0.00_);_(&quot;R$ &quot;* \(#,##0.00\);_(&quot;R$ &quot;* \-??_);_(@_)"/>
    <numFmt numFmtId="167" formatCode="_(&quot;R$ &quot;* #,##0.00_);_(&quot;R$ &quot;* \(#,##0.00\);_(&quot;R$ &quot;* \-??_);_(@_)"/>
    <numFmt numFmtId="168" formatCode="_-&quot;R$ &quot;* #,##0.00_-;&quot;-R$ &quot;* #,##0.00_-;_-&quot;R$ &quot;* \-??_-;_-@_-"/>
    <numFmt numFmtId="169" formatCode="0%"/>
    <numFmt numFmtId="170" formatCode="_(* #,##0.00_);_(* \(#,##0.00\);_(* \-??_);_(@_)"/>
    <numFmt numFmtId="171" formatCode="_-* #,##0.00_-;\-* #,##0.00_-;_-* \-??_-;_-@_-"/>
    <numFmt numFmtId="172" formatCode="_(* #,##0.000_);_(* \(#,##0.000\);_(* \-??_);_(@_)"/>
    <numFmt numFmtId="173" formatCode="_(* #,##0.0000000_);_(* \(#,##0.0000000\);_(* \-??_);_(@_)"/>
    <numFmt numFmtId="174" formatCode="YYYY/MM/DD\ HH:MM:SS"/>
    <numFmt numFmtId="175" formatCode="_(* #,##0.00_);_(* \(#,##0.00\);_(* \-??_);_(@_)"/>
    <numFmt numFmtId="176" formatCode="@"/>
    <numFmt numFmtId="177" formatCode="0.00%"/>
    <numFmt numFmtId="178" formatCode="#,##0.00"/>
    <numFmt numFmtId="179" formatCode="&quot;R$ &quot;#,##0.00"/>
    <numFmt numFmtId="180" formatCode="General"/>
    <numFmt numFmtId="181" formatCode="0.00"/>
    <numFmt numFmtId="182" formatCode="[$-416]D/M/YYYY"/>
    <numFmt numFmtId="183" formatCode="[$-416]D/MMM"/>
    <numFmt numFmtId="184" formatCode="0.000"/>
    <numFmt numFmtId="185" formatCode="0.0000"/>
    <numFmt numFmtId="186" formatCode="0"/>
    <numFmt numFmtId="187" formatCode="0.0%"/>
  </numFmts>
  <fonts count="4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2"/>
      <name val="Arial"/>
      <family val="2"/>
      <charset val="1"/>
    </font>
    <font>
      <sz val="8"/>
      <name val="Comic Sans MS"/>
      <family val="4"/>
      <charset val="1"/>
    </font>
    <font>
      <b val="true"/>
      <sz val="16"/>
      <color rgb="FF000000"/>
      <name val="Arial"/>
      <family val="2"/>
      <charset val="1"/>
    </font>
    <font>
      <b val="true"/>
      <sz val="10"/>
      <name val="Times New Roman"/>
      <family val="1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Comic Sans MS"/>
      <family val="4"/>
      <charset val="1"/>
    </font>
    <font>
      <sz val="10"/>
      <color rgb="FF000000"/>
      <name val="Arial"/>
      <family val="2"/>
      <charset val="1"/>
    </font>
    <font>
      <b val="true"/>
      <sz val="10"/>
      <color rgb="FFFF0000"/>
      <name val="Times New Roman"/>
      <family val="1"/>
      <charset val="1"/>
    </font>
    <font>
      <b val="true"/>
      <sz val="10"/>
      <name val="Comic Sans MS"/>
      <family val="4"/>
      <charset val="1"/>
    </font>
    <font>
      <b val="true"/>
      <sz val="11"/>
      <color rgb="FFFF0000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u val="single"/>
      <sz val="11"/>
      <name val="Calibri"/>
      <family val="2"/>
      <charset val="1"/>
    </font>
    <font>
      <u val="single"/>
      <sz val="11"/>
      <name val="Calibri"/>
      <family val="2"/>
      <charset val="1"/>
    </font>
    <font>
      <sz val="10"/>
      <color rgb="FFFF0000"/>
      <name val="Arial"/>
      <family val="2"/>
      <charset val="1"/>
    </font>
    <font>
      <sz val="18"/>
      <color rgb="FF000000"/>
      <name val="Calibri"/>
      <family val="2"/>
      <charset val="1"/>
    </font>
    <font>
      <vertAlign val="superscript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10"/>
      <name val="Times New Roman"/>
      <family val="1"/>
      <charset val="1"/>
    </font>
    <font>
      <b val="true"/>
      <sz val="32"/>
      <color rgb="FF000000"/>
      <name val="Calibri"/>
      <family val="2"/>
    </font>
    <font>
      <sz val="12"/>
      <color rgb="FF000000"/>
      <name val="Calibri"/>
      <family val="2"/>
    </font>
    <font>
      <b val="true"/>
      <sz val="24"/>
      <color rgb="FF000000"/>
      <name val="Calibri"/>
      <family val="2"/>
    </font>
    <font>
      <sz val="14"/>
      <color rgb="FF000000"/>
      <name val="Calibri"/>
      <family val="2"/>
    </font>
    <font>
      <sz val="16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C6D9F1"/>
        <bgColor rgb="FFC6EFCE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BFBFBF"/>
      </patternFill>
    </fill>
  </fills>
  <borders count="7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</borders>
  <cellStyleXfs count="10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5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2" fontId="4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3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5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12" fillId="2" borderId="7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1" fillId="2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0" xfId="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12" fillId="3" borderId="10" xfId="9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3" borderId="10" xfId="9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3" borderId="10" xfId="98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2" fillId="3" borderId="11" xfId="9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12" fillId="4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4" fillId="2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4" fillId="0" borderId="19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19" xfId="98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4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4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22" xfId="98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4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6" fontId="14" fillId="2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80" fontId="4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4" fillId="0" borderId="19" xfId="54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70" fontId="1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70" fontId="12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14" fillId="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4" fillId="2" borderId="19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70" fontId="4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4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4" fillId="2" borderId="18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70" fontId="4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14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4" fillId="2" borderId="18" xfId="9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4" fillId="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4" fillId="0" borderId="18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11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12" fillId="4" borderId="15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12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1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1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4" fillId="2" borderId="10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70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4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4" fillId="2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4" fillId="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" fillId="2" borderId="2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4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2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4" fillId="2" borderId="2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83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1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1" fillId="4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14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4" fillId="2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4" fillId="2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4" fillId="0" borderId="22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14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4" fillId="0" borderId="21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80" fontId="14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4" fillId="2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14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4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12" fillId="4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1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4" fillId="2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4" fillId="0" borderId="33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4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3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4" fillId="2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4" fillId="2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4" fillId="2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14" fillId="0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4" fillId="0" borderId="34" xfId="54" applyFont="true" applyBorder="true" applyAlignment="true" applyProtection="false">
      <alignment horizontal="justify" vertical="distributed" textRotation="0" wrapText="true" indent="0" shrinkToFit="false"/>
      <protection locked="true" hidden="false"/>
    </xf>
    <xf numFmtId="164" fontId="4" fillId="2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2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4" fillId="2" borderId="3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4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4" fillId="0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9" fontId="12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3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9" fontId="12" fillId="4" borderId="4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81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1" fontId="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81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8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9" fillId="2" borderId="1" xfId="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21" fillId="0" borderId="0" xfId="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11" fillId="0" borderId="1" xfId="6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1" fillId="0" borderId="0" xfId="6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6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0" fillId="0" borderId="0" xfId="6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2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8" fillId="5" borderId="0" xfId="6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8" fillId="5" borderId="0" xfId="6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23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5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8" fillId="0" borderId="0" xfId="5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23" fillId="0" borderId="0" xfId="5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0" borderId="2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2" borderId="41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4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3" xfId="5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19" fillId="0" borderId="24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2" borderId="43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19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20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8" fillId="0" borderId="6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8" fillId="2" borderId="35" xfId="5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1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1" fontId="23" fillId="0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2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1" fontId="23" fillId="2" borderId="0" xfId="5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2" borderId="44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2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20" xfId="5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19" fillId="0" borderId="45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2" borderId="19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2" borderId="25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43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46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2" borderId="47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48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1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19" fillId="0" borderId="44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8" fillId="0" borderId="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8" fillId="2" borderId="0" xfId="5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1" fontId="19" fillId="2" borderId="4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1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0" borderId="5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8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8" fillId="0" borderId="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8" fillId="0" borderId="0" xfId="5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1" fontId="19" fillId="0" borderId="0" xfId="5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2" borderId="0" xfId="5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0" xfId="6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0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0" xfId="5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19" fillId="0" borderId="0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9" fillId="0" borderId="49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6" borderId="50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4" fontId="19" fillId="0" borderId="2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21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4" fontId="19" fillId="0" borderId="19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51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19" fillId="0" borderId="3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9" fillId="2" borderId="22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2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9" fillId="0" borderId="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9" fillId="0" borderId="5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9" fillId="2" borderId="26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26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5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5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81" fontId="17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0" borderId="18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23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52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8" fillId="2" borderId="6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1" fontId="19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81" fontId="19" fillId="2" borderId="17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18" fillId="2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19" fillId="0" borderId="3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2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81" fontId="19" fillId="2" borderId="2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2" borderId="42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9" fillId="0" borderId="0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9" fillId="2" borderId="1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4" fontId="19" fillId="2" borderId="19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9" fillId="2" borderId="17" xfId="5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1" fontId="19" fillId="2" borderId="2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8" fillId="0" borderId="53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8" fillId="0" borderId="35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25" fillId="0" borderId="0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1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1" fontId="1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25" fillId="0" borderId="0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19" fillId="0" borderId="17" xfId="5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1" fontId="19" fillId="2" borderId="49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4" fontId="19" fillId="2" borderId="26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2" borderId="19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9" fillId="2" borderId="54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9" fillId="2" borderId="26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9" fillId="0" borderId="55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9" fillId="0" borderId="27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1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81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4" fontId="19" fillId="0" borderId="44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4" fontId="19" fillId="0" borderId="43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4" fontId="19" fillId="0" borderId="20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9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8" fillId="2" borderId="56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8" fillId="2" borderId="57" xfId="5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1" fontId="19" fillId="0" borderId="58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55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18" fillId="5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5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81" fontId="22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8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81" fontId="19" fillId="0" borderId="19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4" fontId="19" fillId="0" borderId="26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39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5" fontId="19" fillId="0" borderId="19" xfId="5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8" fillId="0" borderId="45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9" fillId="0" borderId="52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9" fillId="0" borderId="52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8" fillId="2" borderId="0" xfId="59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8" fillId="0" borderId="0" xfId="59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8" fillId="0" borderId="0" xfId="59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4" fontId="19" fillId="0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2" borderId="0" xfId="59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19" fillId="0" borderId="11" xfId="59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11" fillId="0" borderId="1" xfId="6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42" xfId="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2" fillId="4" borderId="42" xfId="9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4" borderId="42" xfId="9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2" fillId="4" borderId="42" xfId="9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4" borderId="3" xfId="9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12" fillId="2" borderId="17" xfId="6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6" fontId="12" fillId="2" borderId="19" xfId="6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4" fillId="2" borderId="19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4" fillId="2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4" fillId="2" borderId="5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6" fontId="12" fillId="2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4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2" fillId="4" borderId="19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12" fillId="4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4" borderId="5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2" fillId="4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3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2" fillId="4" borderId="34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2" fillId="4" borderId="34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4" borderId="35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1" xfId="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0" xfId="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40" xfId="6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4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1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0" fontId="14" fillId="2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4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1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4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2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2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2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2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4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4" fillId="0" borderId="5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4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2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1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4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4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1" fontId="14" fillId="2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4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2" borderId="4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4" fillId="2" borderId="5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2" borderId="4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1" fontId="14" fillId="2" borderId="4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4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4" fillId="2" borderId="4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4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4" fillId="0" borderId="5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1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4" fillId="2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4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5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1" fontId="14" fillId="2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4" fillId="2" borderId="6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81" fontId="14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14" fillId="2" borderId="6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4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1" fontId="14" fillId="0" borderId="6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4" fontId="1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14" fillId="0" borderId="6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1" fontId="14" fillId="2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1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81" fontId="14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4" fontId="14" fillId="2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4" fontId="14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5" fontId="14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1" fontId="14" fillId="2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2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84" fontId="14" fillId="0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1" fontId="14" fillId="2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2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4" fillId="2" borderId="5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1" fontId="1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3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6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14" fillId="2" borderId="1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4" fillId="2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4" fillId="2" borderId="5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11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4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14" fillId="2" borderId="4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4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1" fontId="4" fillId="0" borderId="4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4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4" fillId="0" borderId="4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4" fontId="14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1" fontId="14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1" fontId="14" fillId="0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0" fillId="2" borderId="2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0" fillId="2" borderId="1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0" fillId="0" borderId="1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0" fillId="2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0" fillId="0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81" fontId="0" fillId="2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0" fillId="0" borderId="3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81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30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0" fillId="0" borderId="62" xfId="4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0" fillId="0" borderId="55" xfId="4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9" fillId="0" borderId="54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9" fillId="0" borderId="61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8" borderId="63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7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4" fillId="0" borderId="5" xfId="63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6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7" fontId="4" fillId="0" borderId="35" xfId="63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8" borderId="64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7" xfId="4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7" fontId="4" fillId="0" borderId="60" xfId="63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4" fillId="0" borderId="60" xfId="7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7" xfId="42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77" fontId="4" fillId="0" borderId="52" xfId="63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63" xfId="4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4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5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8" borderId="30" xfId="4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31" fillId="8" borderId="40" xfId="4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2" borderId="66" xfId="6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40" xfId="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36" xfId="6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2" borderId="30" xfId="6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2" fillId="2" borderId="40" xfId="6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4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4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4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6" fontId="34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8" fontId="3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34" fillId="0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0" borderId="19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3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34" fillId="0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3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7" fontId="34" fillId="0" borderId="19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4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3" fillId="4" borderId="42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3" fillId="4" borderId="42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4" borderId="42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42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4" borderId="42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3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4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4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3" fillId="4" borderId="34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8" fontId="33" fillId="4" borderId="34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34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4" borderId="68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68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34" fillId="4" borderId="68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4" fillId="4" borderId="57" xfId="98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1" xfId="4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69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3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50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12" fillId="0" borderId="70" xfId="5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14" fillId="0" borderId="4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9" xfId="5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14" fillId="0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34" xfId="5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35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14" fillId="0" borderId="3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14" fillId="0" borderId="3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3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33" xfId="6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2" fillId="3" borderId="33" xfId="9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3" borderId="31" xfId="9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0" fillId="0" borderId="4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35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2" fillId="2" borderId="3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0" fillId="0" borderId="1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3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2" fillId="2" borderId="5" xfId="5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0" fillId="0" borderId="3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13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2" fillId="2" borderId="35" xfId="54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2 2" xfId="21"/>
    <cellStyle name="Moeda 3" xfId="22"/>
    <cellStyle name="Moeda 4" xfId="23"/>
    <cellStyle name="Moeda 5" xfId="24"/>
    <cellStyle name="Moeda 6" xfId="25"/>
    <cellStyle name="Moeda 7" xfId="26"/>
    <cellStyle name="Moeda 8" xfId="27"/>
    <cellStyle name="Normal 10 20" xfId="28"/>
    <cellStyle name="Normal 2" xfId="29"/>
    <cellStyle name="Normal 2 2" xfId="30"/>
    <cellStyle name="Normal 2 2 2" xfId="31"/>
    <cellStyle name="Normal 2 2 2 2" xfId="32"/>
    <cellStyle name="Normal 2 2 2 2 2" xfId="33"/>
    <cellStyle name="Normal 2 2 2 2 3" xfId="34"/>
    <cellStyle name="Normal 2 2 2 2 4" xfId="35"/>
    <cellStyle name="Normal 2 2 2 2 5" xfId="36"/>
    <cellStyle name="Normal 2 2 2 3" xfId="37"/>
    <cellStyle name="Normal 2 2 2 4" xfId="38"/>
    <cellStyle name="Normal 2 2 3" xfId="39"/>
    <cellStyle name="Normal 2 2 4" xfId="40"/>
    <cellStyle name="Normal 2 2 5" xfId="41"/>
    <cellStyle name="Normal 2 3" xfId="42"/>
    <cellStyle name="Normal 2 4" xfId="43"/>
    <cellStyle name="Normal 2 5" xfId="44"/>
    <cellStyle name="Normal 3" xfId="45"/>
    <cellStyle name="Normal 3 2" xfId="46"/>
    <cellStyle name="Normal 3 2 2" xfId="47"/>
    <cellStyle name="Normal 3 3" xfId="48"/>
    <cellStyle name="Normal 3 4" xfId="49"/>
    <cellStyle name="Normal 4" xfId="50"/>
    <cellStyle name="Normal 4 2" xfId="51"/>
    <cellStyle name="Normal 5" xfId="52"/>
    <cellStyle name="Normal 6" xfId="53"/>
    <cellStyle name="Normal 7" xfId="54"/>
    <cellStyle name="Normal 7 2" xfId="55"/>
    <cellStyle name="Normal 7 3" xfId="56"/>
    <cellStyle name="Normal 7 4" xfId="57"/>
    <cellStyle name="Normal 7 5" xfId="58"/>
    <cellStyle name="Normal 8" xfId="59"/>
    <cellStyle name="Normal 8 2 2" xfId="60"/>
    <cellStyle name="Normal_Relação de material" xfId="61"/>
    <cellStyle name="Porcentagem 2" xfId="62"/>
    <cellStyle name="Porcentagem 2 2 2 2" xfId="63"/>
    <cellStyle name="Porcentagem 3" xfId="64"/>
    <cellStyle name="Porcentagem 4" xfId="65"/>
    <cellStyle name="Separador de milhares 10" xfId="66"/>
    <cellStyle name="Separador de milhares 10 2" xfId="67"/>
    <cellStyle name="Separador de milhares 2" xfId="68"/>
    <cellStyle name="Separador de milhares 2 2" xfId="69"/>
    <cellStyle name="Separador de milhares 2 2 2" xfId="70"/>
    <cellStyle name="Separador de milhares 2 2 2 2" xfId="71"/>
    <cellStyle name="Separador de milhares 2 2 2 3" xfId="72"/>
    <cellStyle name="Separador de milhares 2 2 2 4" xfId="73"/>
    <cellStyle name="Separador de milhares 2 2 2 5" xfId="74"/>
    <cellStyle name="Separador de milhares 2 2 3" xfId="75"/>
    <cellStyle name="Separador de milhares 2 2 3 2" xfId="76"/>
    <cellStyle name="Separador de milhares 2 2 4" xfId="77"/>
    <cellStyle name="Separador de milhares 2 3" xfId="78"/>
    <cellStyle name="Separador de milhares 2 3 2" xfId="79"/>
    <cellStyle name="Separador de milhares 2 3 2 2" xfId="80"/>
    <cellStyle name="Separador de milhares 2 3 2 3" xfId="81"/>
    <cellStyle name="Separador de milhares 2 3 3" xfId="82"/>
    <cellStyle name="Separador de milhares 2 3 4" xfId="83"/>
    <cellStyle name="Separador de milhares 2 3 5" xfId="84"/>
    <cellStyle name="Separador de milhares 2 3 6" xfId="85"/>
    <cellStyle name="Separador de milhares 2 3 7" xfId="86"/>
    <cellStyle name="Separador de milhares 2 3 8" xfId="87"/>
    <cellStyle name="Separador de milhares 2 4" xfId="88"/>
    <cellStyle name="Separador de milhares 2 5" xfId="89"/>
    <cellStyle name="Separador de milhares 2 6" xfId="90"/>
    <cellStyle name="Separador de milhares 2 7" xfId="91"/>
    <cellStyle name="Separador de milhares 3" xfId="92"/>
    <cellStyle name="Separador de milhares 3 2" xfId="93"/>
    <cellStyle name="Separador de milhares 4" xfId="94"/>
    <cellStyle name="Vírgula 2" xfId="95"/>
    <cellStyle name="Vírgula 2 2" xfId="96"/>
    <cellStyle name="Vírgula 3" xfId="97"/>
    <cellStyle name="Vírgula 4" xfId="98"/>
    <cellStyle name="Vírgula 6" xfId="99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6EFCE"/>
      <rgbColor rgb="FFFFEB9C"/>
      <rgbColor rgb="FF8EB4E3"/>
      <rgbColor rgb="FFFF99CC"/>
      <rgbColor rgb="FFBFBFBF"/>
      <rgbColor rgb="FFFFC7CE"/>
      <rgbColor rgb="FF3366FF"/>
      <rgbColor rgb="FF33CCCC"/>
      <rgbColor rgb="FF99CC00"/>
      <rgbColor rgb="FFFFCC00"/>
      <rgbColor rgb="FFFF9900"/>
      <rgbColor rgb="FFFF6600"/>
      <rgbColor rgb="FF4F81BD"/>
      <rgbColor rgb="FFB7B7B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3200" spc="-1" strike="noStrike">
                <a:solidFill>
                  <a:srgbClr val="000000"/>
                </a:solidFill>
                <a:latin typeface="Calibri"/>
              </a:defRPr>
            </a:pPr>
            <a:r>
              <a:rPr b="1" sz="3200" spc="-1" strike="noStrike">
                <a:solidFill>
                  <a:srgbClr val="000000"/>
                </a:solidFill>
                <a:latin typeface="Calibri"/>
              </a:rPr>
              <a:t>CURVA ABC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75377847158164"/>
          <c:y val="0.0703995962747167"/>
          <c:w val="0.860654225502022"/>
          <c:h val="0.80985915492957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numFmt formatCode="0.00%" sourceLinked="1"/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'Curva ABC'!$A$12:$A$62</c:f>
              <c:strCache>
                <c:ptCount val="51"/>
                <c:pt idx="0">
                  <c:v>6.1</c:v>
                </c:pt>
                <c:pt idx="1">
                  <c:v>2.16</c:v>
                </c:pt>
                <c:pt idx="2">
                  <c:v>2.7</c:v>
                </c:pt>
                <c:pt idx="3">
                  <c:v>4.1</c:v>
                </c:pt>
                <c:pt idx="4">
                  <c:v>2.18</c:v>
                </c:pt>
                <c:pt idx="5">
                  <c:v>2.6</c:v>
                </c:pt>
                <c:pt idx="6">
                  <c:v>2.15</c:v>
                </c:pt>
                <c:pt idx="7">
                  <c:v>2.5</c:v>
                </c:pt>
                <c:pt idx="8">
                  <c:v>1.11</c:v>
                </c:pt>
                <c:pt idx="9">
                  <c:v>2.9</c:v>
                </c:pt>
                <c:pt idx="10">
                  <c:v>1.8</c:v>
                </c:pt>
                <c:pt idx="11">
                  <c:v>2.20</c:v>
                </c:pt>
                <c:pt idx="12">
                  <c:v>2.13</c:v>
                </c:pt>
                <c:pt idx="13">
                  <c:v>2.21</c:v>
                </c:pt>
                <c:pt idx="14">
                  <c:v>1.2</c:v>
                </c:pt>
                <c:pt idx="15">
                  <c:v>2.8</c:v>
                </c:pt>
                <c:pt idx="16">
                  <c:v>2.1</c:v>
                </c:pt>
                <c:pt idx="17">
                  <c:v>2.4</c:v>
                </c:pt>
                <c:pt idx="18">
                  <c:v>1.10</c:v>
                </c:pt>
                <c:pt idx="19">
                  <c:v>1.9</c:v>
                </c:pt>
                <c:pt idx="20">
                  <c:v>5.6</c:v>
                </c:pt>
                <c:pt idx="21">
                  <c:v>1.1</c:v>
                </c:pt>
                <c:pt idx="22">
                  <c:v>5.3</c:v>
                </c:pt>
                <c:pt idx="23">
                  <c:v>6.3</c:v>
                </c:pt>
                <c:pt idx="24">
                  <c:v>2.22</c:v>
                </c:pt>
                <c:pt idx="25">
                  <c:v>3.6</c:v>
                </c:pt>
                <c:pt idx="26">
                  <c:v>6.2</c:v>
                </c:pt>
                <c:pt idx="27">
                  <c:v>2.2</c:v>
                </c:pt>
                <c:pt idx="28">
                  <c:v>2.10</c:v>
                </c:pt>
                <c:pt idx="29">
                  <c:v>2.3</c:v>
                </c:pt>
                <c:pt idx="30">
                  <c:v>2.17</c:v>
                </c:pt>
                <c:pt idx="31">
                  <c:v>2.19</c:v>
                </c:pt>
                <c:pt idx="32">
                  <c:v>5.2</c:v>
                </c:pt>
                <c:pt idx="33">
                  <c:v>1.4</c:v>
                </c:pt>
                <c:pt idx="34">
                  <c:v>5.7</c:v>
                </c:pt>
                <c:pt idx="35">
                  <c:v>5.4</c:v>
                </c:pt>
                <c:pt idx="36">
                  <c:v>3.3</c:v>
                </c:pt>
                <c:pt idx="37">
                  <c:v>1.7</c:v>
                </c:pt>
                <c:pt idx="38">
                  <c:v>2.14</c:v>
                </c:pt>
                <c:pt idx="39">
                  <c:v>5.1</c:v>
                </c:pt>
                <c:pt idx="40">
                  <c:v>5.5</c:v>
                </c:pt>
                <c:pt idx="41">
                  <c:v>3.1</c:v>
                </c:pt>
                <c:pt idx="42">
                  <c:v>6.4</c:v>
                </c:pt>
                <c:pt idx="43">
                  <c:v>1.6</c:v>
                </c:pt>
                <c:pt idx="44">
                  <c:v>2.12</c:v>
                </c:pt>
                <c:pt idx="45">
                  <c:v>3.5</c:v>
                </c:pt>
                <c:pt idx="46">
                  <c:v>3.2</c:v>
                </c:pt>
                <c:pt idx="47">
                  <c:v>3.4</c:v>
                </c:pt>
                <c:pt idx="48">
                  <c:v>2.11</c:v>
                </c:pt>
                <c:pt idx="49">
                  <c:v>1.3</c:v>
                </c:pt>
                <c:pt idx="50">
                  <c:v>1.5</c:v>
                </c:pt>
              </c:strCache>
            </c:strRef>
          </c:cat>
          <c:val>
            <c:numRef>
              <c:f>'Curva ABC'!$E$12:$E$62</c:f>
              <c:numCache>
                <c:formatCode>General</c:formatCode>
                <c:ptCount val="51"/>
                <c:pt idx="0">
                  <c:v>0.212930670663698</c:v>
                </c:pt>
                <c:pt idx="1">
                  <c:v>0.168375147197695</c:v>
                </c:pt>
                <c:pt idx="2">
                  <c:v>0.0831187264509619</c:v>
                </c:pt>
                <c:pt idx="3">
                  <c:v>0.0648239747215258</c:v>
                </c:pt>
                <c:pt idx="4">
                  <c:v>0.055235754870345</c:v>
                </c:pt>
                <c:pt idx="5">
                  <c:v>0.0411117485484216</c:v>
                </c:pt>
                <c:pt idx="6">
                  <c:v>0.03110334251996</c:v>
                </c:pt>
                <c:pt idx="7">
                  <c:v>0.0295516731039128</c:v>
                </c:pt>
                <c:pt idx="8">
                  <c:v>0.0236698157196651</c:v>
                </c:pt>
                <c:pt idx="9">
                  <c:v>0.0226486803318987</c:v>
                </c:pt>
                <c:pt idx="10">
                  <c:v>0.0206662797481096</c:v>
                </c:pt>
                <c:pt idx="11">
                  <c:v>0.0197968078297073</c:v>
                </c:pt>
                <c:pt idx="12">
                  <c:v>0.0191630135669658</c:v>
                </c:pt>
                <c:pt idx="13">
                  <c:v>0.0190609634133777</c:v>
                </c:pt>
                <c:pt idx="14">
                  <c:v>0.0162171581170035</c:v>
                </c:pt>
                <c:pt idx="15">
                  <c:v>0.0160277516489945</c:v>
                </c:pt>
                <c:pt idx="16">
                  <c:v>0.0153161088501166</c:v>
                </c:pt>
                <c:pt idx="17">
                  <c:v>0.0149469189381805</c:v>
                </c:pt>
                <c:pt idx="18">
                  <c:v>0.0142821235559413</c:v>
                </c:pt>
                <c:pt idx="19">
                  <c:v>0.0118121756262975</c:v>
                </c:pt>
                <c:pt idx="20">
                  <c:v>0.0106026133597999</c:v>
                </c:pt>
                <c:pt idx="21">
                  <c:v>0.00962383080257404</c:v>
                </c:pt>
                <c:pt idx="22">
                  <c:v>0.0089340270823014</c:v>
                </c:pt>
                <c:pt idx="23">
                  <c:v>0.00858581190549015</c:v>
                </c:pt>
                <c:pt idx="24">
                  <c:v>0.00759896214244703</c:v>
                </c:pt>
                <c:pt idx="25">
                  <c:v>0.00750889755178743</c:v>
                </c:pt>
                <c:pt idx="26">
                  <c:v>0.00649219912722053</c:v>
                </c:pt>
                <c:pt idx="27">
                  <c:v>0.00637297734982147</c:v>
                </c:pt>
                <c:pt idx="28">
                  <c:v>0.00465702504959603</c:v>
                </c:pt>
                <c:pt idx="29">
                  <c:v>0.00325759533189983</c:v>
                </c:pt>
                <c:pt idx="30">
                  <c:v>0.00314252240320678</c:v>
                </c:pt>
                <c:pt idx="31">
                  <c:v>0.00283988693926293</c:v>
                </c:pt>
                <c:pt idx="32">
                  <c:v>0.0027713156898164</c:v>
                </c:pt>
                <c:pt idx="33">
                  <c:v>0.00237976809318683</c:v>
                </c:pt>
                <c:pt idx="34">
                  <c:v>0.00222061364699244</c:v>
                </c:pt>
                <c:pt idx="35">
                  <c:v>0.00202630923259437</c:v>
                </c:pt>
                <c:pt idx="36">
                  <c:v>0.00139551136058497</c:v>
                </c:pt>
                <c:pt idx="37">
                  <c:v>0.00134803009206065</c:v>
                </c:pt>
                <c:pt idx="38">
                  <c:v>0.00132244552504026</c:v>
                </c:pt>
                <c:pt idx="39">
                  <c:v>0.00121480595027881</c:v>
                </c:pt>
                <c:pt idx="40">
                  <c:v>0.00110906793117429</c:v>
                </c:pt>
                <c:pt idx="41">
                  <c:v>0.001011397117887</c:v>
                </c:pt>
                <c:pt idx="42">
                  <c:v>0.000968064698068688</c:v>
                </c:pt>
                <c:pt idx="43">
                  <c:v>0.00084728710240488</c:v>
                </c:pt>
                <c:pt idx="44">
                  <c:v>0.00063281467346371</c:v>
                </c:pt>
                <c:pt idx="45">
                  <c:v>0.00047463981654713</c:v>
                </c:pt>
                <c:pt idx="46">
                  <c:v>0.000451014428082358</c:v>
                </c:pt>
                <c:pt idx="47">
                  <c:v>0.000155063220387074</c:v>
                </c:pt>
                <c:pt idx="48">
                  <c:v>0.000132129306706637</c:v>
                </c:pt>
                <c:pt idx="49">
                  <c:v>5.62399491258952E-005</c:v>
                </c:pt>
                <c:pt idx="50">
                  <c:v>8.29769741201732E-006</c:v>
                </c:pt>
              </c:numCache>
            </c:numRef>
          </c:val>
        </c:ser>
        <c:gapWidth val="150"/>
        <c:overlap val="0"/>
        <c:axId val="62169017"/>
        <c:axId val="60512436"/>
      </c:barChart>
      <c:lineChart>
        <c:grouping val="standard"/>
        <c:varyColors val="0"/>
        <c:ser>
          <c:idx val="1"/>
          <c:order val="1"/>
          <c:spPr>
            <a:solidFill>
              <a:srgbClr val="be4b48"/>
            </a:solidFill>
            <a:ln w="3816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numFmt formatCode="0.00%" sourceLinked="1"/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'Curva ABC'!$A$12:$A$62</c:f>
              <c:strCache>
                <c:ptCount val="51"/>
                <c:pt idx="0">
                  <c:v>6.1</c:v>
                </c:pt>
                <c:pt idx="1">
                  <c:v>2.16</c:v>
                </c:pt>
                <c:pt idx="2">
                  <c:v>2.7</c:v>
                </c:pt>
                <c:pt idx="3">
                  <c:v>4.1</c:v>
                </c:pt>
                <c:pt idx="4">
                  <c:v>2.18</c:v>
                </c:pt>
                <c:pt idx="5">
                  <c:v>2.6</c:v>
                </c:pt>
                <c:pt idx="6">
                  <c:v>2.15</c:v>
                </c:pt>
                <c:pt idx="7">
                  <c:v>2.5</c:v>
                </c:pt>
                <c:pt idx="8">
                  <c:v>1.11</c:v>
                </c:pt>
                <c:pt idx="9">
                  <c:v>2.9</c:v>
                </c:pt>
                <c:pt idx="10">
                  <c:v>1.8</c:v>
                </c:pt>
                <c:pt idx="11">
                  <c:v>2.20</c:v>
                </c:pt>
                <c:pt idx="12">
                  <c:v>2.13</c:v>
                </c:pt>
                <c:pt idx="13">
                  <c:v>2.21</c:v>
                </c:pt>
                <c:pt idx="14">
                  <c:v>1.2</c:v>
                </c:pt>
                <c:pt idx="15">
                  <c:v>2.8</c:v>
                </c:pt>
                <c:pt idx="16">
                  <c:v>2.1</c:v>
                </c:pt>
                <c:pt idx="17">
                  <c:v>2.4</c:v>
                </c:pt>
                <c:pt idx="18">
                  <c:v>1.10</c:v>
                </c:pt>
                <c:pt idx="19">
                  <c:v>1.9</c:v>
                </c:pt>
                <c:pt idx="20">
                  <c:v>5.6</c:v>
                </c:pt>
                <c:pt idx="21">
                  <c:v>1.1</c:v>
                </c:pt>
                <c:pt idx="22">
                  <c:v>5.3</c:v>
                </c:pt>
                <c:pt idx="23">
                  <c:v>6.3</c:v>
                </c:pt>
                <c:pt idx="24">
                  <c:v>2.22</c:v>
                </c:pt>
                <c:pt idx="25">
                  <c:v>3.6</c:v>
                </c:pt>
                <c:pt idx="26">
                  <c:v>6.2</c:v>
                </c:pt>
                <c:pt idx="27">
                  <c:v>2.2</c:v>
                </c:pt>
                <c:pt idx="28">
                  <c:v>2.10</c:v>
                </c:pt>
                <c:pt idx="29">
                  <c:v>2.3</c:v>
                </c:pt>
                <c:pt idx="30">
                  <c:v>2.17</c:v>
                </c:pt>
                <c:pt idx="31">
                  <c:v>2.19</c:v>
                </c:pt>
                <c:pt idx="32">
                  <c:v>5.2</c:v>
                </c:pt>
                <c:pt idx="33">
                  <c:v>1.4</c:v>
                </c:pt>
                <c:pt idx="34">
                  <c:v>5.7</c:v>
                </c:pt>
                <c:pt idx="35">
                  <c:v>5.4</c:v>
                </c:pt>
                <c:pt idx="36">
                  <c:v>3.3</c:v>
                </c:pt>
                <c:pt idx="37">
                  <c:v>1.7</c:v>
                </c:pt>
                <c:pt idx="38">
                  <c:v>2.14</c:v>
                </c:pt>
                <c:pt idx="39">
                  <c:v>5.1</c:v>
                </c:pt>
                <c:pt idx="40">
                  <c:v>5.5</c:v>
                </c:pt>
                <c:pt idx="41">
                  <c:v>3.1</c:v>
                </c:pt>
                <c:pt idx="42">
                  <c:v>6.4</c:v>
                </c:pt>
                <c:pt idx="43">
                  <c:v>1.6</c:v>
                </c:pt>
                <c:pt idx="44">
                  <c:v>2.12</c:v>
                </c:pt>
                <c:pt idx="45">
                  <c:v>3.5</c:v>
                </c:pt>
                <c:pt idx="46">
                  <c:v>3.2</c:v>
                </c:pt>
                <c:pt idx="47">
                  <c:v>3.4</c:v>
                </c:pt>
                <c:pt idx="48">
                  <c:v>2.11</c:v>
                </c:pt>
                <c:pt idx="49">
                  <c:v>1.3</c:v>
                </c:pt>
                <c:pt idx="50">
                  <c:v>1.5</c:v>
                </c:pt>
              </c:strCache>
            </c:strRef>
          </c:cat>
          <c:val>
            <c:numRef>
              <c:f>'Curva ABC'!$F$12:$F$62</c:f>
              <c:numCache>
                <c:formatCode>General</c:formatCode>
                <c:ptCount val="51"/>
                <c:pt idx="0">
                  <c:v>0.212930670663698</c:v>
                </c:pt>
                <c:pt idx="1">
                  <c:v>0.381305817861393</c:v>
                </c:pt>
                <c:pt idx="2">
                  <c:v>0.464424544312355</c:v>
                </c:pt>
                <c:pt idx="3">
                  <c:v>0.529248519033881</c:v>
                </c:pt>
                <c:pt idx="4">
                  <c:v>0.584484273904226</c:v>
                </c:pt>
                <c:pt idx="5">
                  <c:v>0.625596022452647</c:v>
                </c:pt>
                <c:pt idx="6">
                  <c:v>0.656699364972607</c:v>
                </c:pt>
                <c:pt idx="7">
                  <c:v>0.68625103807652</c:v>
                </c:pt>
                <c:pt idx="8">
                  <c:v>0.709920853796185</c:v>
                </c:pt>
                <c:pt idx="9">
                  <c:v>0.732569534128084</c:v>
                </c:pt>
                <c:pt idx="10">
                  <c:v>0.753235813876193</c:v>
                </c:pt>
                <c:pt idx="11">
                  <c:v>0.773032621705901</c:v>
                </c:pt>
                <c:pt idx="12">
                  <c:v>0.792195635272866</c:v>
                </c:pt>
                <c:pt idx="13">
                  <c:v>0.811256598686244</c:v>
                </c:pt>
                <c:pt idx="14">
                  <c:v>0.827473756803247</c:v>
                </c:pt>
                <c:pt idx="15">
                  <c:v>0.843501508452242</c:v>
                </c:pt>
                <c:pt idx="16">
                  <c:v>0.858817617302359</c:v>
                </c:pt>
                <c:pt idx="17">
                  <c:v>0.873764536240539</c:v>
                </c:pt>
                <c:pt idx="18">
                  <c:v>0.888046659796481</c:v>
                </c:pt>
                <c:pt idx="19">
                  <c:v>0.899858835422778</c:v>
                </c:pt>
                <c:pt idx="20">
                  <c:v>0.910461448782578</c:v>
                </c:pt>
                <c:pt idx="21">
                  <c:v>0.920085279585152</c:v>
                </c:pt>
                <c:pt idx="22">
                  <c:v>0.929019306667454</c:v>
                </c:pt>
                <c:pt idx="23">
                  <c:v>0.937605118572944</c:v>
                </c:pt>
                <c:pt idx="24">
                  <c:v>0.945204080715391</c:v>
                </c:pt>
                <c:pt idx="25">
                  <c:v>0.952712978267178</c:v>
                </c:pt>
                <c:pt idx="26">
                  <c:v>0.959205177394399</c:v>
                </c:pt>
                <c:pt idx="27">
                  <c:v>0.96557815474422</c:v>
                </c:pt>
                <c:pt idx="28">
                  <c:v>0.970235179793816</c:v>
                </c:pt>
                <c:pt idx="29">
                  <c:v>0.973492775125716</c:v>
                </c:pt>
                <c:pt idx="30">
                  <c:v>0.976635297528923</c:v>
                </c:pt>
                <c:pt idx="31">
                  <c:v>0.979475184468186</c:v>
                </c:pt>
                <c:pt idx="32">
                  <c:v>0.982246500158002</c:v>
                </c:pt>
                <c:pt idx="33">
                  <c:v>0.984626268251189</c:v>
                </c:pt>
                <c:pt idx="34">
                  <c:v>0.986846881898181</c:v>
                </c:pt>
                <c:pt idx="35">
                  <c:v>0.988873191130776</c:v>
                </c:pt>
                <c:pt idx="36">
                  <c:v>0.990268702491361</c:v>
                </c:pt>
                <c:pt idx="37">
                  <c:v>0.991616732583421</c:v>
                </c:pt>
                <c:pt idx="38">
                  <c:v>0.992939178108461</c:v>
                </c:pt>
                <c:pt idx="39">
                  <c:v>0.99415398405874</c:v>
                </c:pt>
                <c:pt idx="40">
                  <c:v>0.995263051989915</c:v>
                </c:pt>
                <c:pt idx="41">
                  <c:v>0.996274449107802</c:v>
                </c:pt>
                <c:pt idx="42">
                  <c:v>0.99724251380587</c:v>
                </c:pt>
                <c:pt idx="43">
                  <c:v>0.998089800908275</c:v>
                </c:pt>
                <c:pt idx="44">
                  <c:v>0.998722615581739</c:v>
                </c:pt>
                <c:pt idx="45">
                  <c:v>0.999197255398286</c:v>
                </c:pt>
                <c:pt idx="46">
                  <c:v>0.999648269826368</c:v>
                </c:pt>
                <c:pt idx="47">
                  <c:v>0.999803333046756</c:v>
                </c:pt>
                <c:pt idx="48">
                  <c:v>0.999935462353462</c:v>
                </c:pt>
                <c:pt idx="49">
                  <c:v>0.999991702302588</c:v>
                </c:pt>
                <c:pt idx="50">
                  <c:v>1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62169017"/>
        <c:axId val="60512436"/>
      </c:lineChart>
      <c:catAx>
        <c:axId val="62169017"/>
        <c:scaling>
          <c:orientation val="minMax"/>
        </c:scaling>
        <c:delete val="0"/>
        <c:axPos val="b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b="1" sz="2400" spc="-1" strike="noStrike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2400" spc="-1" strike="noStrike">
                    <a:solidFill>
                      <a:srgbClr val="000000"/>
                    </a:solidFill>
                    <a:latin typeface="Calibri"/>
                  </a:rPr>
                  <a:t>Item do orçamento</a:t>
                </a:r>
              </a:p>
            </c:rich>
          </c:tx>
          <c:layout>
            <c:manualLayout>
              <c:xMode val="edge"/>
              <c:yMode val="edge"/>
              <c:x val="0.464443340665579"/>
              <c:y val="0.918406202688443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2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0512436"/>
        <c:crosses val="autoZero"/>
        <c:auto val="1"/>
        <c:lblAlgn val="ctr"/>
        <c:lblOffset val="100"/>
      </c:catAx>
      <c:valAx>
        <c:axId val="60512436"/>
        <c:scaling>
          <c:orientation val="minMax"/>
        </c:scaling>
        <c:delete val="0"/>
        <c:axPos val="l"/>
        <c:minorGridlines>
          <c:spPr>
            <a:ln w="9360">
              <a:solidFill>
                <a:srgbClr val="b7b7b7"/>
              </a:solidFill>
              <a:round/>
            </a:ln>
          </c:spPr>
        </c:minorGridlines>
        <c:title>
          <c:tx>
            <c:rich>
              <a:bodyPr rot="-5400000"/>
              <a:lstStyle/>
              <a:p>
                <a:pPr>
                  <a:defRPr b="1" sz="2400" spc="-1" strike="noStrike">
                    <a:solidFill>
                      <a:srgbClr val="000000"/>
                    </a:solidFill>
                    <a:latin typeface="Calibri"/>
                  </a:defRPr>
                </a:pPr>
                <a:r>
                  <a:rPr b="1" sz="2400" spc="-1" strike="noStrike">
                    <a:solidFill>
                      <a:srgbClr val="000000"/>
                    </a:solidFill>
                    <a:latin typeface="Calibri"/>
                  </a:rPr>
                  <a:t>Percentual (%)</a:t>
                </a:r>
              </a:p>
            </c:rich>
          </c:tx>
          <c:layout>
            <c:manualLayout>
              <c:xMode val="edge"/>
              <c:yMode val="edge"/>
              <c:x val="0.0191158731285035"/>
              <c:y val="0.402761847960729"/>
            </c:manualLayout>
          </c:layout>
          <c:overlay val="0"/>
          <c:spPr>
            <a:noFill/>
            <a:ln>
              <a:noFill/>
            </a:ln>
          </c:spPr>
        </c:title>
        <c:numFmt formatCode="0.00%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2169017"/>
        <c:crosses val="autoZero"/>
      </c:valAx>
      <c:spPr>
        <a:solidFill>
          <a:srgbClr val="ffffff"/>
        </a:solidFill>
        <a:ln>
          <a:noFill/>
        </a:ln>
      </c:spPr>
    </c:plotArea>
    <c:legend>
      <c:layout>
        <c:manualLayout>
          <c:xMode val="edge"/>
          <c:yMode val="edge"/>
          <c:x val="0.394243901671798"/>
          <c:y val="0.954525209889849"/>
          <c:w val="0.247749500439936"/>
          <c:h val="0.0372273683223889"/>
        </c:manualLayout>
      </c:layout>
      <c:spPr>
        <a:noFill/>
        <a:ln>
          <a:noFill/>
        </a:ln>
      </c:spPr>
      <c:txPr>
        <a:bodyPr/>
        <a:lstStyle/>
        <a:p>
          <a:pPr>
            <a:defRPr b="0" sz="16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0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1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2.jpe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3.jpe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14.jpe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15.jpeg"/><Relationship Id="rId2" Type="http://schemas.openxmlformats.org/officeDocument/2006/relationships/image" Target="../media/image16.jpeg"/><Relationship Id="rId3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11160</xdr:rowOff>
    </xdr:from>
    <xdr:to>
      <xdr:col>1</xdr:col>
      <xdr:colOff>747720</xdr:colOff>
      <xdr:row>1</xdr:row>
      <xdr:rowOff>717120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0" y="11160"/>
          <a:ext cx="1513440" cy="963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11160</xdr:rowOff>
    </xdr:from>
    <xdr:to>
      <xdr:col>1</xdr:col>
      <xdr:colOff>1061280</xdr:colOff>
      <xdr:row>0</xdr:row>
      <xdr:rowOff>974880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0" y="11160"/>
          <a:ext cx="1494720" cy="963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866520</xdr:colOff>
      <xdr:row>1</xdr:row>
      <xdr:rowOff>706320</xdr:rowOff>
    </xdr:to>
    <xdr:pic>
      <xdr:nvPicPr>
        <xdr:cNvPr id="2" name="Imagem 2" descr=""/>
        <xdr:cNvPicPr/>
      </xdr:nvPicPr>
      <xdr:blipFill>
        <a:blip r:embed="rId1"/>
        <a:stretch/>
      </xdr:blipFill>
      <xdr:spPr>
        <a:xfrm>
          <a:off x="0" y="0"/>
          <a:ext cx="1478520" cy="9633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11160</xdr:colOff>
      <xdr:row>0</xdr:row>
      <xdr:rowOff>22320</xdr:rowOff>
    </xdr:from>
    <xdr:to>
      <xdr:col>2</xdr:col>
      <xdr:colOff>411480</xdr:colOff>
      <xdr:row>1</xdr:row>
      <xdr:rowOff>190440</xdr:rowOff>
    </xdr:to>
    <xdr:pic>
      <xdr:nvPicPr>
        <xdr:cNvPr id="3" name="Imagem 2" descr=""/>
        <xdr:cNvPicPr/>
      </xdr:nvPicPr>
      <xdr:blipFill>
        <a:blip r:embed="rId1"/>
        <a:stretch/>
      </xdr:blipFill>
      <xdr:spPr>
        <a:xfrm>
          <a:off x="656280" y="22320"/>
          <a:ext cx="1539360" cy="9680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3457440</xdr:colOff>
      <xdr:row>3</xdr:row>
      <xdr:rowOff>28440</xdr:rowOff>
    </xdr:from>
    <xdr:to>
      <xdr:col>3</xdr:col>
      <xdr:colOff>1380600</xdr:colOff>
      <xdr:row>6</xdr:row>
      <xdr:rowOff>287280</xdr:rowOff>
    </xdr:to>
    <xdr:pic>
      <xdr:nvPicPr>
        <xdr:cNvPr id="4" name="Imagem 2" descr=""/>
        <xdr:cNvPicPr/>
      </xdr:nvPicPr>
      <xdr:blipFill>
        <a:blip r:embed="rId1"/>
        <a:stretch/>
      </xdr:blipFill>
      <xdr:spPr>
        <a:xfrm>
          <a:off x="4681440" y="685440"/>
          <a:ext cx="1683000" cy="963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9360</xdr:colOff>
      <xdr:row>1</xdr:row>
      <xdr:rowOff>9360</xdr:rowOff>
    </xdr:from>
    <xdr:to>
      <xdr:col>2</xdr:col>
      <xdr:colOff>1018800</xdr:colOff>
      <xdr:row>3</xdr:row>
      <xdr:rowOff>280440</xdr:rowOff>
    </xdr:to>
    <xdr:pic>
      <xdr:nvPicPr>
        <xdr:cNvPr id="5" name="Imagem 2" descr=""/>
        <xdr:cNvPicPr/>
      </xdr:nvPicPr>
      <xdr:blipFill>
        <a:blip r:embed="rId1"/>
        <a:stretch/>
      </xdr:blipFill>
      <xdr:spPr>
        <a:xfrm>
          <a:off x="621360" y="209160"/>
          <a:ext cx="1503360" cy="966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11160</xdr:rowOff>
    </xdr:from>
    <xdr:to>
      <xdr:col>1</xdr:col>
      <xdr:colOff>490320</xdr:colOff>
      <xdr:row>1</xdr:row>
      <xdr:rowOff>202680</xdr:rowOff>
    </xdr:to>
    <xdr:pic>
      <xdr:nvPicPr>
        <xdr:cNvPr id="6" name="Imagem 2" descr=""/>
        <xdr:cNvPicPr/>
      </xdr:nvPicPr>
      <xdr:blipFill>
        <a:blip r:embed="rId1"/>
        <a:stretch/>
      </xdr:blipFill>
      <xdr:spPr>
        <a:xfrm>
          <a:off x="0" y="11160"/>
          <a:ext cx="1256040" cy="38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47520</xdr:colOff>
      <xdr:row>0</xdr:row>
      <xdr:rowOff>27000</xdr:rowOff>
    </xdr:from>
    <xdr:to>
      <xdr:col>1</xdr:col>
      <xdr:colOff>795240</xdr:colOff>
      <xdr:row>1</xdr:row>
      <xdr:rowOff>713880</xdr:rowOff>
    </xdr:to>
    <xdr:pic>
      <xdr:nvPicPr>
        <xdr:cNvPr id="7" name="Imagem 3" descr=""/>
        <xdr:cNvPicPr/>
      </xdr:nvPicPr>
      <xdr:blipFill>
        <a:blip r:embed="rId2"/>
        <a:stretch/>
      </xdr:blipFill>
      <xdr:spPr>
        <a:xfrm>
          <a:off x="47520" y="27000"/>
          <a:ext cx="1513440" cy="87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9</xdr:col>
      <xdr:colOff>63360</xdr:colOff>
      <xdr:row>0</xdr:row>
      <xdr:rowOff>142920</xdr:rowOff>
    </xdr:from>
    <xdr:to>
      <xdr:col>48</xdr:col>
      <xdr:colOff>269280</xdr:colOff>
      <xdr:row>39</xdr:row>
      <xdr:rowOff>348840</xdr:rowOff>
    </xdr:to>
    <xdr:graphicFrame>
      <xdr:nvGraphicFramePr>
        <xdr:cNvPr id="8" name="Gráfico 6"/>
        <xdr:cNvGraphicFramePr/>
      </xdr:nvGraphicFramePr>
      <xdr:xfrm>
        <a:off x="14537520" y="142920"/>
        <a:ext cx="25367040" cy="15693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X68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6" ySplit="6" topLeftCell="G7" activePane="bottomRight" state="frozen"/>
      <selection pane="topLeft" activeCell="A1" activeCellId="0" sqref="A1"/>
      <selection pane="topRight" activeCell="G1" activeCellId="0" sqref="G1"/>
      <selection pane="bottomLeft" activeCell="A7" activeCellId="0" sqref="A7"/>
      <selection pane="bottomRight" activeCell="I8" activeCellId="0" sqref="I8"/>
    </sheetView>
  </sheetViews>
  <sheetFormatPr defaultRowHeight="1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2" width="15.86"/>
    <col collapsed="false" customWidth="true" hidden="false" outlineLevel="0" max="3" min="3" style="3" width="87.86"/>
    <col collapsed="false" customWidth="true" hidden="false" outlineLevel="0" max="4" min="4" style="1" width="8"/>
    <col collapsed="false" customWidth="true" hidden="false" outlineLevel="0" max="5" min="5" style="4" width="13.01"/>
    <col collapsed="false" customWidth="true" hidden="false" outlineLevel="0" max="6" min="6" style="5" width="20.29"/>
    <col collapsed="false" customWidth="true" hidden="false" outlineLevel="0" max="7" min="7" style="0" width="21.86"/>
    <col collapsed="false" customWidth="true" hidden="false" outlineLevel="0" max="8" min="8" style="6" width="14.57"/>
    <col collapsed="false" customWidth="true" hidden="false" outlineLevel="0" max="9" min="9" style="6" width="11.14"/>
    <col collapsed="false" customWidth="true" hidden="false" outlineLevel="0" max="1025" min="10" style="6" width="9.14"/>
  </cols>
  <sheetData>
    <row r="1" s="8" customFormat="true" ht="20.25" hidden="false" customHeight="true" outlineLevel="0" collapsed="false">
      <c r="A1" s="7" t="s">
        <v>0</v>
      </c>
      <c r="B1" s="7"/>
      <c r="C1" s="7"/>
      <c r="D1" s="7"/>
      <c r="E1" s="7"/>
      <c r="F1" s="7"/>
      <c r="G1" s="7"/>
    </row>
    <row r="2" s="8" customFormat="true" ht="58.5" hidden="false" customHeight="true" outlineLevel="0" collapsed="false">
      <c r="A2" s="7"/>
      <c r="B2" s="7"/>
      <c r="C2" s="7"/>
      <c r="D2" s="7"/>
      <c r="E2" s="7"/>
      <c r="F2" s="7"/>
      <c r="G2" s="7"/>
    </row>
    <row r="3" s="8" customFormat="true" ht="15" hidden="false" customHeight="true" outlineLevel="0" collapsed="false">
      <c r="A3" s="9" t="s">
        <v>1</v>
      </c>
      <c r="B3" s="10" t="s">
        <v>2</v>
      </c>
      <c r="C3" s="10"/>
      <c r="D3" s="10"/>
      <c r="E3" s="10"/>
      <c r="F3" s="10"/>
      <c r="G3" s="10"/>
    </row>
    <row r="4" s="8" customFormat="true" ht="12.75" hidden="false" customHeight="true" outlineLevel="0" collapsed="false">
      <c r="A4" s="11" t="s">
        <v>3</v>
      </c>
      <c r="B4" s="12" t="s">
        <v>4</v>
      </c>
      <c r="C4" s="12"/>
      <c r="D4" s="12"/>
      <c r="E4" s="12"/>
      <c r="F4" s="12"/>
      <c r="G4" s="12"/>
    </row>
    <row r="5" s="17" customFormat="true" ht="18" hidden="false" customHeight="true" outlineLevel="0" collapsed="false">
      <c r="A5" s="13" t="s">
        <v>5</v>
      </c>
      <c r="B5" s="14" t="s">
        <v>6</v>
      </c>
      <c r="C5" s="14"/>
      <c r="D5" s="14"/>
      <c r="E5" s="14"/>
      <c r="F5" s="15" t="s">
        <v>7</v>
      </c>
      <c r="G5" s="16" t="n">
        <f aca="false">BDI!D27</f>
        <v>0.3127</v>
      </c>
      <c r="H5" s="8"/>
      <c r="I5" s="8"/>
      <c r="J5" s="8"/>
      <c r="K5" s="8"/>
      <c r="L5" s="8"/>
      <c r="M5" s="8"/>
      <c r="N5" s="8"/>
      <c r="O5" s="8"/>
    </row>
    <row r="6" s="17" customFormat="true" ht="26.25" hidden="false" customHeight="false" outlineLevel="0" collapsed="false">
      <c r="A6" s="18" t="s">
        <v>8</v>
      </c>
      <c r="B6" s="19" t="s">
        <v>9</v>
      </c>
      <c r="C6" s="20" t="s">
        <v>10</v>
      </c>
      <c r="D6" s="21" t="s">
        <v>11</v>
      </c>
      <c r="E6" s="22" t="s">
        <v>12</v>
      </c>
      <c r="F6" s="23" t="s">
        <v>13</v>
      </c>
      <c r="G6" s="24" t="s">
        <v>14</v>
      </c>
      <c r="H6" s="8"/>
      <c r="I6" s="8"/>
      <c r="J6" s="8"/>
      <c r="K6" s="8"/>
      <c r="L6" s="8"/>
      <c r="M6" s="8"/>
      <c r="N6" s="8"/>
      <c r="O6" s="8"/>
    </row>
    <row r="7" s="17" customFormat="true" ht="15.75" hidden="false" customHeight="false" outlineLevel="0" collapsed="false">
      <c r="A7" s="25" t="n">
        <v>1</v>
      </c>
      <c r="B7" s="26"/>
      <c r="C7" s="27" t="s">
        <v>15</v>
      </c>
      <c r="D7" s="28"/>
      <c r="E7" s="28"/>
      <c r="F7" s="29"/>
      <c r="G7" s="30" t="n">
        <f aca="false">SUM(G8:G18)</f>
        <v>17512.31</v>
      </c>
      <c r="H7" s="31"/>
      <c r="I7" s="8"/>
      <c r="J7" s="8"/>
      <c r="K7" s="8"/>
      <c r="L7" s="8"/>
      <c r="M7" s="8"/>
      <c r="N7" s="8"/>
      <c r="O7" s="8"/>
    </row>
    <row r="8" s="8" customFormat="true" ht="18.75" hidden="false" customHeight="true" outlineLevel="0" collapsed="false">
      <c r="A8" s="32" t="s">
        <v>16</v>
      </c>
      <c r="B8" s="33" t="str">
        <f aca="false">'Composições '!B5</f>
        <v>742091/SINAPI</v>
      </c>
      <c r="C8" s="34" t="str">
        <f aca="false">'Composições '!C5</f>
        <v>Placa de obra em chapa de aco galvanizado</v>
      </c>
      <c r="D8" s="35" t="s">
        <v>17</v>
      </c>
      <c r="E8" s="36" t="n">
        <f aca="false">'Memória de Cálculo'!G10</f>
        <v>4.5</v>
      </c>
      <c r="F8" s="37" t="n">
        <f aca="false">'Composições '!G14</f>
        <v>371.1432</v>
      </c>
      <c r="G8" s="38" t="n">
        <f aca="false">ROUND(F8*E8,2)</f>
        <v>1670.14</v>
      </c>
      <c r="H8" s="39"/>
      <c r="I8" s="40"/>
    </row>
    <row r="9" s="8" customFormat="true" ht="18.75" hidden="false" customHeight="true" outlineLevel="0" collapsed="false">
      <c r="A9" s="32" t="s">
        <v>18</v>
      </c>
      <c r="B9" s="33" t="str">
        <f aca="false">'Composições '!B17</f>
        <v>COMP.01</v>
      </c>
      <c r="C9" s="34" t="str">
        <f aca="false">'Composições '!C17</f>
        <v>Retirada de blocos de isopor</v>
      </c>
      <c r="D9" s="41" t="s">
        <v>19</v>
      </c>
      <c r="E9" s="42" t="n">
        <f aca="false">'Memória de Cálculo'!G22</f>
        <v>499</v>
      </c>
      <c r="F9" s="43" t="n">
        <f aca="false">'Composições '!G20</f>
        <v>5.64</v>
      </c>
      <c r="G9" s="38" t="n">
        <f aca="false">ROUND(F9*E9,2)</f>
        <v>2814.36</v>
      </c>
      <c r="H9" s="39"/>
      <c r="I9" s="40"/>
    </row>
    <row r="10" s="8" customFormat="true" ht="18.75" hidden="false" customHeight="true" outlineLevel="0" collapsed="false">
      <c r="A10" s="32" t="s">
        <v>20</v>
      </c>
      <c r="B10" s="33" t="str">
        <f aca="false">'Composições '!B23</f>
        <v> 97662/SINAPI</v>
      </c>
      <c r="C10" s="34" t="str">
        <f aca="false">'Composições '!C23</f>
        <v>Remoção de tubulações (tubos e conexões) de água fria, de forma manual, sem reaproveitamento. </v>
      </c>
      <c r="D10" s="41" t="s">
        <v>21</v>
      </c>
      <c r="E10" s="42" t="n">
        <f aca="false">'Memória de Cálculo'!G28</f>
        <v>35.35</v>
      </c>
      <c r="F10" s="43" t="n">
        <f aca="false">'Composições '!G27</f>
        <v>0.276018</v>
      </c>
      <c r="G10" s="38" t="n">
        <f aca="false">ROUND(F10*E10,2)</f>
        <v>9.76</v>
      </c>
      <c r="H10" s="39"/>
      <c r="I10" s="40"/>
    </row>
    <row r="11" s="8" customFormat="true" ht="18.75" hidden="false" customHeight="true" outlineLevel="0" collapsed="false">
      <c r="A11" s="32" t="s">
        <v>22</v>
      </c>
      <c r="B11" s="33" t="str">
        <f aca="false">'Composições '!B30</f>
        <v>COMP.02</v>
      </c>
      <c r="C11" s="34" t="str">
        <f aca="false">'Composições '!C30</f>
        <v>Retirada de eletrodutos aparentes - até 2"</v>
      </c>
      <c r="D11" s="41" t="s">
        <v>21</v>
      </c>
      <c r="E11" s="42" t="n">
        <f aca="false">'Memória de Cálculo'!G35</f>
        <v>60.4</v>
      </c>
      <c r="F11" s="43" t="n">
        <f aca="false">'Composições '!G34</f>
        <v>6.8375</v>
      </c>
      <c r="G11" s="38" t="n">
        <f aca="false">ROUND(F11*E11,2)</f>
        <v>412.99</v>
      </c>
      <c r="H11" s="39"/>
      <c r="I11" s="40"/>
    </row>
    <row r="12" s="8" customFormat="true" ht="18.75" hidden="false" customHeight="true" outlineLevel="0" collapsed="false">
      <c r="A12" s="32" t="s">
        <v>23</v>
      </c>
      <c r="B12" s="33" t="str">
        <f aca="false">'Composições '!B38</f>
        <v>97665/SINAPI</v>
      </c>
      <c r="C12" s="34" t="str">
        <f aca="false">'Composições '!C38</f>
        <v>Remoção de luminárias, de forma manual, sem reaproveitamento.</v>
      </c>
      <c r="D12" s="41" t="s">
        <v>19</v>
      </c>
      <c r="E12" s="42" t="n">
        <f aca="false">'Memória de Cálculo'!G41</f>
        <v>2</v>
      </c>
      <c r="F12" s="43" t="n">
        <f aca="false">'Composições '!G42</f>
        <v>0.722348</v>
      </c>
      <c r="G12" s="38" t="n">
        <f aca="false">ROUND(F12*E12,2)</f>
        <v>1.44</v>
      </c>
      <c r="H12" s="39"/>
      <c r="I12" s="40"/>
    </row>
    <row r="13" s="8" customFormat="true" ht="18.75" hidden="false" customHeight="true" outlineLevel="0" collapsed="false">
      <c r="A13" s="32" t="s">
        <v>24</v>
      </c>
      <c r="B13" s="33" t="str">
        <f aca="false">'Composições '!B45</f>
        <v>COMP.03</v>
      </c>
      <c r="C13" s="34" t="str">
        <f aca="false">'Composições '!C45</f>
        <v>Retirada de central de ar</v>
      </c>
      <c r="D13" s="41" t="s">
        <v>21</v>
      </c>
      <c r="E13" s="42" t="n">
        <f aca="false">'Memória de Cálculo'!G47</f>
        <v>18</v>
      </c>
      <c r="F13" s="43" t="n">
        <f aca="false">'Composições '!G49</f>
        <v>8.169</v>
      </c>
      <c r="G13" s="38" t="n">
        <f aca="false">ROUND(F13*E13,2)</f>
        <v>147.04</v>
      </c>
      <c r="H13" s="39"/>
      <c r="I13" s="40"/>
    </row>
    <row r="14" s="8" customFormat="true" ht="18.75" hidden="false" customHeight="true" outlineLevel="0" collapsed="false">
      <c r="A14" s="32" t="s">
        <v>25</v>
      </c>
      <c r="B14" s="44" t="s">
        <v>26</v>
      </c>
      <c r="C14" s="34" t="s">
        <v>27</v>
      </c>
      <c r="D14" s="45" t="s">
        <v>19</v>
      </c>
      <c r="E14" s="42" t="n">
        <v>1</v>
      </c>
      <c r="F14" s="43" t="n">
        <v>233.94</v>
      </c>
      <c r="G14" s="38" t="n">
        <f aca="false">ROUND(F14*E14,2)</f>
        <v>233.94</v>
      </c>
      <c r="I14" s="46"/>
    </row>
    <row r="15" s="8" customFormat="true" ht="18.75" hidden="false" customHeight="true" outlineLevel="0" collapsed="false">
      <c r="A15" s="32" t="s">
        <v>28</v>
      </c>
      <c r="B15" s="44" t="str">
        <f aca="false">'Composições '!B400</f>
        <v>COMP.29</v>
      </c>
      <c r="C15" s="34" t="str">
        <f aca="false">'Composições '!C400</f>
        <v>Isolamento de obra com tela plastica com malha de 5mm e estrutura de madeira pontaleteada</v>
      </c>
      <c r="D15" s="47" t="s">
        <v>17</v>
      </c>
      <c r="E15" s="42" t="n">
        <f aca="false">'Memória de Cálculo'!G59</f>
        <v>199.35</v>
      </c>
      <c r="F15" s="43" t="n">
        <f aca="false">'Composições '!G408</f>
        <v>17.9908</v>
      </c>
      <c r="G15" s="38" t="n">
        <f aca="false">ROUND(F15*E15,2)</f>
        <v>3586.47</v>
      </c>
      <c r="I15" s="46"/>
    </row>
    <row r="16" s="8" customFormat="true" ht="18.75" hidden="false" customHeight="true" outlineLevel="0" collapsed="false">
      <c r="A16" s="32" t="s">
        <v>29</v>
      </c>
      <c r="B16" s="48" t="str">
        <f aca="false">'Composições '!B382</f>
        <v>COMP.27</v>
      </c>
      <c r="C16" s="49" t="str">
        <f aca="false">'Composições '!C382</f>
        <v>Tela para proteção em polietileno</v>
      </c>
      <c r="D16" s="47" t="s">
        <v>17</v>
      </c>
      <c r="E16" s="50" t="n">
        <f aca="false">'Memória de Cálculo'!G67</f>
        <v>371.25</v>
      </c>
      <c r="F16" s="43" t="n">
        <f aca="false">'Composições '!G388</f>
        <v>5.52164389140272</v>
      </c>
      <c r="G16" s="38" t="n">
        <f aca="false">ROUND(E16*F16,2)</f>
        <v>2049.91</v>
      </c>
      <c r="I16" s="46"/>
    </row>
    <row r="17" s="8" customFormat="true" ht="18.75" hidden="false" customHeight="true" outlineLevel="0" collapsed="false">
      <c r="A17" s="32" t="s">
        <v>30</v>
      </c>
      <c r="B17" s="48" t="str">
        <f aca="false">'Composições '!B392</f>
        <v>COMP.28</v>
      </c>
      <c r="C17" s="49" t="str">
        <f aca="false">'Composições '!C392</f>
        <v>Lona plástica preta - Fornecimento e instalação</v>
      </c>
      <c r="D17" s="47" t="s">
        <v>17</v>
      </c>
      <c r="E17" s="50" t="n">
        <f aca="false">'Memória de Cálculo'!G78</f>
        <v>590.975</v>
      </c>
      <c r="F17" s="43" t="n">
        <f aca="false">'Composições '!G396</f>
        <v>4.194</v>
      </c>
      <c r="G17" s="38" t="n">
        <f aca="false">ROUND(E17*F17,2)</f>
        <v>2478.55</v>
      </c>
      <c r="I17" s="46"/>
    </row>
    <row r="18" s="8" customFormat="true" ht="18.75" hidden="false" customHeight="true" outlineLevel="0" collapsed="false">
      <c r="A18" s="32" t="s">
        <v>31</v>
      </c>
      <c r="B18" s="48" t="str">
        <f aca="false">'Composições '!B427</f>
        <v>COMP.32</v>
      </c>
      <c r="C18" s="49" t="str">
        <f aca="false">'Composições '!C427</f>
        <v>Proteção de piso com aplicação de chapa de madeira</v>
      </c>
      <c r="D18" s="47" t="s">
        <v>17</v>
      </c>
      <c r="E18" s="50" t="n">
        <f aca="false">'Memória de Cálculo'!G86</f>
        <v>219.725</v>
      </c>
      <c r="F18" s="43" t="n">
        <f aca="false">'Composições '!G431</f>
        <v>18.6948</v>
      </c>
      <c r="G18" s="38" t="n">
        <f aca="false">ROUND(E18*F18,2)</f>
        <v>4107.71</v>
      </c>
      <c r="I18" s="46"/>
    </row>
    <row r="19" s="55" customFormat="true" ht="15" hidden="false" customHeight="true" outlineLevel="0" collapsed="false">
      <c r="A19" s="25" t="n">
        <v>2</v>
      </c>
      <c r="B19" s="26"/>
      <c r="C19" s="51" t="s">
        <v>32</v>
      </c>
      <c r="D19" s="28"/>
      <c r="E19" s="52"/>
      <c r="F19" s="53"/>
      <c r="G19" s="30" t="n">
        <f aca="false">SUM(G20:G41)</f>
        <v>98122.97</v>
      </c>
      <c r="H19" s="54"/>
    </row>
    <row r="20" customFormat="false" ht="26.25" hidden="false" customHeight="false" outlineLevel="0" collapsed="false">
      <c r="A20" s="56" t="s">
        <v>33</v>
      </c>
      <c r="B20" s="48" t="str">
        <f aca="false">'Composições '!B53</f>
        <v>COMP.04</v>
      </c>
      <c r="C20" s="49" t="str">
        <f aca="false">'Composições '!C53</f>
        <v>Escoramento metálico para lajes e vigas, c/ escoras tubulares tipo "b" (h=3,30 a 4,50 m), com montagem e desmontagem</v>
      </c>
      <c r="D20" s="47" t="s">
        <v>17</v>
      </c>
      <c r="E20" s="50" t="n">
        <f aca="false">'Memória de Cálculo'!G107</f>
        <v>221.2595</v>
      </c>
      <c r="F20" s="43" t="n">
        <f aca="false">'Composições '!G58</f>
        <v>12.013</v>
      </c>
      <c r="G20" s="38" t="n">
        <f aca="false">ROUND(E20*F20,2)</f>
        <v>2657.99</v>
      </c>
    </row>
    <row r="21" customFormat="false" ht="26.25" hidden="false" customHeight="false" outlineLevel="0" collapsed="false">
      <c r="A21" s="56" t="s">
        <v>34</v>
      </c>
      <c r="B21" s="48" t="str">
        <f aca="false">'Composições '!B62</f>
        <v>COMP.05</v>
      </c>
      <c r="C21" s="49" t="str">
        <f aca="false">'Composições '!C62</f>
        <v>Cimbramento / escoramento tubular desmontável, para ponte ou viaduto, edificação civil e industrial, inclusas montagem e desmontagem</v>
      </c>
      <c r="D21" s="47" t="s">
        <v>35</v>
      </c>
      <c r="E21" s="50" t="n">
        <f aca="false">'Memória de Cálculo'!G113</f>
        <v>25.501875</v>
      </c>
      <c r="F21" s="43" t="n">
        <f aca="false">'Composições '!G67</f>
        <v>43.3686</v>
      </c>
      <c r="G21" s="38" t="n">
        <f aca="false">ROUND(E21*F21,2)</f>
        <v>1105.98</v>
      </c>
    </row>
    <row r="22" customFormat="false" ht="19.5" hidden="false" customHeight="true" outlineLevel="0" collapsed="false">
      <c r="A22" s="56" t="s">
        <v>36</v>
      </c>
      <c r="B22" s="44" t="str">
        <f aca="false">'Composições '!B71</f>
        <v>COMP.06</v>
      </c>
      <c r="C22" s="34" t="str">
        <f aca="false">'Composições '!C71</f>
        <v>Andaime metálico fachadeiro - locação mensal , montagem e desmontagem</v>
      </c>
      <c r="D22" s="47" t="s">
        <v>37</v>
      </c>
      <c r="E22" s="50" t="n">
        <f aca="false">'Memória de Cálculo'!G120</f>
        <v>126.75</v>
      </c>
      <c r="F22" s="43" t="n">
        <f aca="false">'Composições '!G76</f>
        <v>4.4602</v>
      </c>
      <c r="G22" s="38" t="n">
        <f aca="false">ROUND(E22*F22,2)</f>
        <v>565.33</v>
      </c>
    </row>
    <row r="23" customFormat="false" ht="19.5" hidden="false" customHeight="true" outlineLevel="0" collapsed="false">
      <c r="A23" s="56" t="s">
        <v>38</v>
      </c>
      <c r="B23" s="44" t="str">
        <f aca="false">'Composições '!B80</f>
        <v>COMP.07</v>
      </c>
      <c r="C23" s="34" t="str">
        <f aca="false">'Composições '!C80</f>
        <v>Preparo de substrato (superfície de concreto) por lixamento elétrico</v>
      </c>
      <c r="D23" s="47" t="s">
        <v>17</v>
      </c>
      <c r="E23" s="50" t="n">
        <f aca="false">'Memória de Cálculo'!G138</f>
        <v>374.4648</v>
      </c>
      <c r="F23" s="43" t="n">
        <f aca="false">'Composições '!G86</f>
        <v>6.927</v>
      </c>
      <c r="G23" s="38" t="n">
        <f aca="false">ROUND(E23*F23,2)</f>
        <v>2593.92</v>
      </c>
    </row>
    <row r="24" customFormat="false" ht="19.5" hidden="false" customHeight="true" outlineLevel="0" collapsed="false">
      <c r="A24" s="56" t="s">
        <v>39</v>
      </c>
      <c r="B24" s="48" t="str">
        <f aca="false">'Composições '!B90</f>
        <v>COMP.08</v>
      </c>
      <c r="C24" s="34" t="str">
        <f aca="false">'Composições '!C90</f>
        <v>Preparo de substrato por escarificação mecânica (corte de concreto) para espessuras de até 3,0cm</v>
      </c>
      <c r="D24" s="57" t="s">
        <v>17</v>
      </c>
      <c r="E24" s="58" t="n">
        <f aca="false">'Memória de Cálculo'!G156</f>
        <v>34.7364</v>
      </c>
      <c r="F24" s="43" t="n">
        <f aca="false">'Composições '!G98</f>
        <v>147.6395</v>
      </c>
      <c r="G24" s="38" t="n">
        <f aca="false">ROUND(E24*F24,2)</f>
        <v>5128.46</v>
      </c>
    </row>
    <row r="25" customFormat="false" ht="25.5" hidden="false" customHeight="false" outlineLevel="0" collapsed="false">
      <c r="A25" s="56" t="s">
        <v>40</v>
      </c>
      <c r="B25" s="48" t="str">
        <f aca="false">'Composições '!B102</f>
        <v>COMP.09</v>
      </c>
      <c r="C25" s="34" t="str">
        <f aca="false">'Composições '!C102</f>
        <v>Preparo de substrato por escarificação mecânica (corte de concreto) para espessuras acima de 3,0cm e até 6,0cm</v>
      </c>
      <c r="D25" s="57" t="s">
        <v>17</v>
      </c>
      <c r="E25" s="59" t="n">
        <f aca="false">'Memória de Cálculo'!G181</f>
        <v>40.2723</v>
      </c>
      <c r="F25" s="37" t="n">
        <f aca="false">'Composições '!G110</f>
        <v>177.15941</v>
      </c>
      <c r="G25" s="38" t="n">
        <f aca="false">ROUND(E25*F25,2)</f>
        <v>7134.62</v>
      </c>
      <c r="I25" s="60"/>
    </row>
    <row r="26" s="65" customFormat="true" ht="18.75" hidden="false" customHeight="true" outlineLevel="0" collapsed="false">
      <c r="A26" s="56" t="s">
        <v>41</v>
      </c>
      <c r="B26" s="61" t="str">
        <f aca="false">'Composições '!B114</f>
        <v>COMP.10</v>
      </c>
      <c r="C26" s="62" t="str">
        <f aca="false">'Composições '!C114</f>
        <v>Escovação elétrica de armadura com escova metálica circular</v>
      </c>
      <c r="D26" s="61" t="s">
        <v>21</v>
      </c>
      <c r="E26" s="63" t="n">
        <f aca="false">'Memória de Cálculo'!G211</f>
        <v>3444.68</v>
      </c>
      <c r="F26" s="64" t="n">
        <f aca="false">'Composições '!G119</f>
        <v>4.1875</v>
      </c>
      <c r="G26" s="38" t="n">
        <f aca="false">ROUND(E26*F26,2)</f>
        <v>14424.6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s="65" customFormat="true" ht="18.75" hidden="false" customHeight="true" outlineLevel="0" collapsed="false">
      <c r="A27" s="56" t="s">
        <v>42</v>
      </c>
      <c r="B27" s="66" t="str">
        <f aca="false">'Composições '!B123</f>
        <v>COMP.11</v>
      </c>
      <c r="C27" s="67" t="str">
        <f aca="false">'Composições '!C123</f>
        <v>Limpeza em superficie de concreto com jateamento d'água sob pressão</v>
      </c>
      <c r="D27" s="61" t="s">
        <v>17</v>
      </c>
      <c r="E27" s="63" t="n">
        <f aca="false">'Memória de Cálculo'!D277</f>
        <v>1070.039</v>
      </c>
      <c r="F27" s="68" t="n">
        <f aca="false">'Composições '!G128</f>
        <v>2.59943131331082</v>
      </c>
      <c r="G27" s="38" t="n">
        <f aca="false">ROUND(E27*F27,2)</f>
        <v>2781.49</v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customFormat="false" ht="25.5" hidden="false" customHeight="false" outlineLevel="0" collapsed="false">
      <c r="A28" s="56" t="s">
        <v>43</v>
      </c>
      <c r="B28" s="33" t="str">
        <f aca="false">'Composições '!B132</f>
        <v>COMP.12</v>
      </c>
      <c r="C28" s="67" t="str">
        <f aca="false">'Composições '!C132</f>
        <v>Furo em concreto com broca de vídea, utilizando martele elétrico (diâmetro até 1/2" / profundidade até 15 cm)</v>
      </c>
      <c r="D28" s="69" t="s">
        <v>19</v>
      </c>
      <c r="E28" s="70" t="n">
        <f aca="false">'Memória de Cálculo'!G290</f>
        <v>439</v>
      </c>
      <c r="F28" s="37" t="n">
        <f aca="false">'Composições '!G138</f>
        <v>8.9533</v>
      </c>
      <c r="G28" s="38" t="n">
        <f aca="false">ROUND(E28*F28,2)</f>
        <v>3930.5</v>
      </c>
    </row>
    <row r="29" customFormat="false" ht="28.5" hidden="false" customHeight="true" outlineLevel="0" collapsed="false">
      <c r="A29" s="56" t="s">
        <v>44</v>
      </c>
      <c r="B29" s="71" t="str">
        <f aca="false">'Composições '!B142</f>
        <v>92767/SINAPI</v>
      </c>
      <c r="C29" s="34" t="str">
        <f aca="false">'Composições '!C142</f>
        <v>Armação de laje de uma estrutura convencional de concreto armado em um edifício de múltiplos pavimentos utilizando aço ca-60 de 4,2 mm - montagem. </v>
      </c>
      <c r="D29" s="69" t="s">
        <v>45</v>
      </c>
      <c r="E29" s="72" t="n">
        <f aca="false">'Memória de Cálculo'!G339</f>
        <v>91.95676</v>
      </c>
      <c r="F29" s="43" t="n">
        <f aca="false">'Composições '!G149</f>
        <v>8.788797</v>
      </c>
      <c r="G29" s="38" t="n">
        <f aca="false">ROUND(E29*F29,2)</f>
        <v>808.19</v>
      </c>
      <c r="I29" s="60"/>
    </row>
    <row r="30" customFormat="false" ht="27.75" hidden="false" customHeight="true" outlineLevel="0" collapsed="false">
      <c r="A30" s="56" t="s">
        <v>46</v>
      </c>
      <c r="B30" s="48" t="str">
        <f aca="false">'Composições '!B152</f>
        <v> 92768/SINAPI</v>
      </c>
      <c r="C30" s="34" t="str">
        <f aca="false">'Composições '!C152</f>
        <v>Armação de laje de uma estrutura convencional de concreto armado em um edifício de múltiplos pavimentos utilizando aço ca-60 de 5,0 mm - montagem.</v>
      </c>
      <c r="D30" s="69" t="s">
        <v>45</v>
      </c>
      <c r="E30" s="59" t="n">
        <f aca="false">'Memória de Cálculo'!G346</f>
        <v>2.9568</v>
      </c>
      <c r="F30" s="37" t="n">
        <f aca="false">'Composições '!G159</f>
        <v>7.7566</v>
      </c>
      <c r="G30" s="38" t="n">
        <f aca="false">ROUND(E30*F30,2)</f>
        <v>22.93</v>
      </c>
      <c r="I30" s="60"/>
    </row>
    <row r="31" customFormat="false" ht="27.75" hidden="false" customHeight="true" outlineLevel="0" collapsed="false">
      <c r="A31" s="56" t="s">
        <v>47</v>
      </c>
      <c r="B31" s="48" t="str">
        <f aca="false">'Composições '!B162</f>
        <v>92769/SINAPI</v>
      </c>
      <c r="C31" s="34" t="str">
        <f aca="false">'Composições '!C162</f>
        <v>Armação de laje de uma estrutura convencional de concreto armado em um edifício de múltiplos pavimentos utilizando aço ca-50 de 6,3 mm - montagem. </v>
      </c>
      <c r="D31" s="69" t="s">
        <v>45</v>
      </c>
      <c r="E31" s="73" t="n">
        <f aca="false">'Memória de Cálculo'!G355</f>
        <v>15.484</v>
      </c>
      <c r="F31" s="37" t="n">
        <f aca="false">'Composições '!G169</f>
        <v>7.092557</v>
      </c>
      <c r="G31" s="38" t="n">
        <f aca="false">ROUND(E31*F31,2)</f>
        <v>109.82</v>
      </c>
      <c r="I31" s="60"/>
    </row>
    <row r="32" customFormat="false" ht="27.75" hidden="false" customHeight="true" outlineLevel="0" collapsed="false">
      <c r="A32" s="56" t="s">
        <v>48</v>
      </c>
      <c r="B32" s="48" t="str">
        <f aca="false">'Composições '!B172</f>
        <v>92770/SINAPI</v>
      </c>
      <c r="C32" s="34" t="str">
        <f aca="false">'Composições '!C172</f>
        <v>Armação de laje de uma estrutura convencional de concreto armado em um edifício de múltiplos pavimentos utilizando aço ca-50 de 8,0 mm - montagem. </v>
      </c>
      <c r="D32" s="69" t="s">
        <v>45</v>
      </c>
      <c r="E32" s="73" t="n">
        <f aca="false">'Memória de Cálculo'!G398</f>
        <v>456.6753</v>
      </c>
      <c r="F32" s="37" t="n">
        <f aca="false">'Composições '!G179</f>
        <v>7.282178</v>
      </c>
      <c r="G32" s="38" t="n">
        <f aca="false">ROUND(E32*F32,2)</f>
        <v>3325.59</v>
      </c>
      <c r="I32" s="60"/>
    </row>
    <row r="33" customFormat="false" ht="27" hidden="false" customHeight="true" outlineLevel="0" collapsed="false">
      <c r="A33" s="56" t="s">
        <v>49</v>
      </c>
      <c r="B33" s="33" t="str">
        <f aca="false">'Composições '!B182</f>
        <v>COMP.13</v>
      </c>
      <c r="C33" s="67" t="str">
        <f aca="false">'Composições '!C182</f>
        <v>Aplicação de adesivo estrutural base resina epoxi, Compound Adesivo, Vedacit ou similar, aplicação em chumbamento e colagem dos mais diversos materiais de construção</v>
      </c>
      <c r="D33" s="69" t="s">
        <v>17</v>
      </c>
      <c r="E33" s="70" t="n">
        <f aca="false">'Memória de Cálculo'!G437</f>
        <v>3.00270664</v>
      </c>
      <c r="F33" s="37" t="n">
        <f aca="false">'Composições '!G186</f>
        <v>76.43</v>
      </c>
      <c r="G33" s="38" t="n">
        <f aca="false">ROUND(E33*F33,2)</f>
        <v>229.5</v>
      </c>
    </row>
    <row r="34" s="65" customFormat="true" ht="18.75" hidden="false" customHeight="true" outlineLevel="0" collapsed="false">
      <c r="A34" s="56" t="s">
        <v>50</v>
      </c>
      <c r="B34" s="66" t="str">
        <f aca="false">'Composições '!B190</f>
        <v>COMP.14</v>
      </c>
      <c r="C34" s="62" t="str">
        <f aca="false">'Composições '!C190</f>
        <v>Proteção de armadura com tinta de alto teor de zinco - Nitoprimer Zn ou similar, esp:2mm</v>
      </c>
      <c r="D34" s="61" t="s">
        <v>17</v>
      </c>
      <c r="E34" s="74" t="n">
        <f aca="false">'Memória de Cálculo'!G493</f>
        <v>78.32840528</v>
      </c>
      <c r="F34" s="68" t="n">
        <f aca="false">'Composições '!G194</f>
        <v>68.9116</v>
      </c>
      <c r="G34" s="38" t="n">
        <f aca="false">ROUND(E34*F34,2)</f>
        <v>5397.74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="65" customFormat="true" ht="18.75" hidden="false" customHeight="true" outlineLevel="0" collapsed="false">
      <c r="A35" s="56" t="s">
        <v>51</v>
      </c>
      <c r="B35" s="66" t="str">
        <f aca="false">'Composições '!B198</f>
        <v>COMP.15</v>
      </c>
      <c r="C35" s="62" t="str">
        <f aca="false">'Composições '!C198</f>
        <v>Forma para recuperação de concreto com chapas plastificadas, inclusive escoramento</v>
      </c>
      <c r="D35" s="61" t="s">
        <v>17</v>
      </c>
      <c r="E35" s="75" t="n">
        <f aca="false">'Memória de Cálculo'!G535</f>
        <v>176.7811</v>
      </c>
      <c r="F35" s="68" t="n">
        <f aca="false">'Composições '!G206</f>
        <v>165.2902</v>
      </c>
      <c r="G35" s="38" t="n">
        <f aca="false">ROUND(E35*F35,2)</f>
        <v>29220.18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="65" customFormat="true" ht="18.75" hidden="false" customHeight="true" outlineLevel="0" collapsed="false">
      <c r="A36" s="56" t="s">
        <v>52</v>
      </c>
      <c r="B36" s="66" t="str">
        <f aca="false">'Composições '!B210</f>
        <v>COMP.16</v>
      </c>
      <c r="C36" s="62" t="str">
        <f aca="false">'Composições '!C210</f>
        <v>Lançamento manual de concreto com o uso de baldes em estruturas, inclusive acabamantos</v>
      </c>
      <c r="D36" s="69" t="s">
        <v>35</v>
      </c>
      <c r="E36" s="75" t="n">
        <f aca="false">'Memória de Cálculo'!G575</f>
        <v>4.413334</v>
      </c>
      <c r="F36" s="68" t="n">
        <f aca="false">'Composições '!G215</f>
        <v>123.57124</v>
      </c>
      <c r="G36" s="38" t="n">
        <f aca="false">ROUND(E36*F36,2)</f>
        <v>545.36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customFormat="false" ht="18.75" hidden="false" customHeight="true" outlineLevel="0" collapsed="false">
      <c r="A37" s="56" t="s">
        <v>53</v>
      </c>
      <c r="B37" s="48" t="str">
        <f aca="false">'Composições '!B219</f>
        <v>COMP.17</v>
      </c>
      <c r="C37" s="34" t="str">
        <f aca="false">'Composições '!C219</f>
        <v>Microconcreto autoadensável para reparos e grouteamento</v>
      </c>
      <c r="D37" s="69" t="s">
        <v>35</v>
      </c>
      <c r="E37" s="59" t="n">
        <f aca="false">'Memória de Cálculo'!G615</f>
        <v>4.413334</v>
      </c>
      <c r="F37" s="37" t="n">
        <f aca="false">'Composições '!G232</f>
        <v>2171.992451196</v>
      </c>
      <c r="G37" s="38" t="n">
        <f aca="false">ROUND(E37*F37,2)</f>
        <v>9585.73</v>
      </c>
      <c r="I37" s="60"/>
    </row>
    <row r="38" customFormat="false" ht="18.75" hidden="false" customHeight="true" outlineLevel="0" collapsed="false">
      <c r="A38" s="56" t="s">
        <v>54</v>
      </c>
      <c r="B38" s="33" t="str">
        <f aca="false">'Composições '!B236</f>
        <v>COMP.18</v>
      </c>
      <c r="C38" s="76" t="str">
        <f aca="false">'Composições '!C236</f>
        <v>Aplicação de membrana de cura química</v>
      </c>
      <c r="D38" s="69" t="s">
        <v>17</v>
      </c>
      <c r="E38" s="70" t="n">
        <f aca="false">'Memória de Cálculo'!G655</f>
        <v>75.8687</v>
      </c>
      <c r="F38" s="37" t="n">
        <f aca="false">'Composições '!G240</f>
        <v>6.496</v>
      </c>
      <c r="G38" s="38" t="n">
        <f aca="false">ROUND(E38*F38,2)</f>
        <v>492.84</v>
      </c>
    </row>
    <row r="39" customFormat="false" ht="18.75" hidden="false" customHeight="true" outlineLevel="0" collapsed="false">
      <c r="A39" s="56" t="s">
        <v>55</v>
      </c>
      <c r="B39" s="33" t="str">
        <f aca="false">'Composições '!B244</f>
        <v>COMP.19</v>
      </c>
      <c r="C39" s="76" t="str">
        <f aca="false">'Composições '!C244</f>
        <v>Corte de reparo de estruturas utilizando disco de corte diamantado</v>
      </c>
      <c r="D39" s="61" t="s">
        <v>21</v>
      </c>
      <c r="E39" s="70" t="n">
        <f aca="false">'Memória de Cálculo'!G672</f>
        <v>145.2</v>
      </c>
      <c r="F39" s="37" t="n">
        <f aca="false">'Composições '!G249</f>
        <v>23.661</v>
      </c>
      <c r="G39" s="38" t="n">
        <f aca="false">ROUND(E39*F39,2)</f>
        <v>3435.58</v>
      </c>
    </row>
    <row r="40" s="65" customFormat="true" ht="18.75" hidden="false" customHeight="true" outlineLevel="0" collapsed="false">
      <c r="A40" s="56" t="s">
        <v>56</v>
      </c>
      <c r="B40" s="66" t="str">
        <f aca="false">'Composições '!B253</f>
        <v>COMP.20</v>
      </c>
      <c r="C40" s="67" t="str">
        <f aca="false">'Composições '!C253</f>
        <v>Aplicação de solução realcalinizadora por difusão natural, cinco demãos, MC - ReALC ou similar</v>
      </c>
      <c r="D40" s="44" t="s">
        <v>17</v>
      </c>
      <c r="E40" s="63" t="n">
        <f aca="false">'Memória de Cálculo'!G693</f>
        <v>83.343</v>
      </c>
      <c r="F40" s="68" t="n">
        <f aca="false">'Composições '!G258</f>
        <v>39.69</v>
      </c>
      <c r="G40" s="38" t="n">
        <f aca="false">ROUND(E40*F40,2)</f>
        <v>3307.88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customFormat="false" ht="18.75" hidden="false" customHeight="true" outlineLevel="0" collapsed="false">
      <c r="A41" s="56" t="s">
        <v>57</v>
      </c>
      <c r="B41" s="33" t="str">
        <f aca="false">'Composições '!B262</f>
        <v> COMP.21</v>
      </c>
      <c r="C41" s="76" t="str">
        <f aca="false">'Composições '!C262</f>
        <v>Restauro - Injeção de resina epoxi para tratamento de trincas</v>
      </c>
      <c r="D41" s="69" t="s">
        <v>21</v>
      </c>
      <c r="E41" s="70" t="n">
        <f aca="false">'Memória de Cálculo'!G703</f>
        <v>6.05</v>
      </c>
      <c r="F41" s="37" t="n">
        <f aca="false">'Composições '!G268</f>
        <v>217.974</v>
      </c>
      <c r="G41" s="38" t="n">
        <f aca="false">ROUND(E41*F41,2)</f>
        <v>1318.74</v>
      </c>
    </row>
    <row r="42" customFormat="false" ht="14.25" hidden="false" customHeight="true" outlineLevel="0" collapsed="false">
      <c r="A42" s="77" t="n">
        <v>3</v>
      </c>
      <c r="B42" s="78"/>
      <c r="C42" s="79" t="s">
        <v>58</v>
      </c>
      <c r="D42" s="80"/>
      <c r="E42" s="81"/>
      <c r="F42" s="82"/>
      <c r="G42" s="30" t="n">
        <f aca="false">SUM(G43:G48)</f>
        <v>1908.36</v>
      </c>
      <c r="H42" s="83"/>
    </row>
    <row r="43" s="65" customFormat="true" ht="25.5" hidden="false" customHeight="true" outlineLevel="0" collapsed="false">
      <c r="A43" s="84" t="s">
        <v>59</v>
      </c>
      <c r="B43" s="85" t="str">
        <f aca="false">'Composições '!B273</f>
        <v>89567/SINAPI </v>
      </c>
      <c r="C43" s="86" t="str">
        <f aca="false">'Composições '!C273</f>
        <v>Junção simples, pvc, serie r, água pluvial, dn 100 x 100 mm, junta elástica, fornecido e instalado em ramal de encaminhamento. </v>
      </c>
      <c r="D43" s="47" t="s">
        <v>19</v>
      </c>
      <c r="E43" s="87" t="n">
        <f aca="false">'Memória de Cálculo'!G712</f>
        <v>4</v>
      </c>
      <c r="F43" s="88" t="n">
        <f aca="false">'Composições '!G280</f>
        <v>43.88011</v>
      </c>
      <c r="G43" s="89" t="n">
        <f aca="false">ROUND(E43*F43,2)</f>
        <v>175.52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="65" customFormat="true" ht="31.5" hidden="false" customHeight="true" outlineLevel="0" collapsed="false">
      <c r="A44" s="90" t="s">
        <v>60</v>
      </c>
      <c r="B44" s="66" t="str">
        <f aca="false">'Composições '!B283</f>
        <v>89531/SINAPI </v>
      </c>
      <c r="C44" s="91" t="str">
        <f aca="false">'Composições '!C283</f>
        <v>Joelho 45 graus, pvc, serie r, água pluvial, dn 100 mm, junta elástica, fornecido e instalado em ramal de encaminhamento. </v>
      </c>
      <c r="D44" s="69" t="s">
        <v>19</v>
      </c>
      <c r="E44" s="63" t="n">
        <f aca="false">'Memória de Cálculo'!G719</f>
        <v>4</v>
      </c>
      <c r="F44" s="68" t="n">
        <f aca="false">'Composições '!G290</f>
        <v>19.56838</v>
      </c>
      <c r="G44" s="89" t="n">
        <f aca="false">ROUND(E44*F44,2)</f>
        <v>78.27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="65" customFormat="true" ht="25.5" hidden="false" customHeight="false" outlineLevel="0" collapsed="false">
      <c r="A45" s="92" t="s">
        <v>61</v>
      </c>
      <c r="B45" s="93" t="str">
        <f aca="false">'Composições '!B293</f>
        <v>89529/SINAPI</v>
      </c>
      <c r="C45" s="94" t="str">
        <f aca="false">'Composições '!C293</f>
        <v>Joelho 90 graus, pvc, serie r, água pluvial, dn 100 mm, junta elástica, fornecido e instalado em ramal de encaminhamento. </v>
      </c>
      <c r="D45" s="69" t="s">
        <v>19</v>
      </c>
      <c r="E45" s="95" t="n">
        <f aca="false">'Memória de Cálculo'!G726</f>
        <v>10</v>
      </c>
      <c r="F45" s="96" t="n">
        <f aca="false">'Composições '!G300</f>
        <v>24.21838</v>
      </c>
      <c r="G45" s="89" t="n">
        <f aca="false">ROUND(E45*F45,2)</f>
        <v>242.18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="65" customFormat="true" ht="25.5" hidden="false" customHeight="false" outlineLevel="0" collapsed="false">
      <c r="A46" s="90" t="s">
        <v>62</v>
      </c>
      <c r="B46" s="66" t="str">
        <f aca="false">'Composições '!B303</f>
        <v>89554/SINAPI </v>
      </c>
      <c r="C46" s="91" t="str">
        <f aca="false">'Composições '!C303</f>
        <v>Luva simples, pvc, serie r, água pluvial, dn 100 mm, junta elástica, fornecido e instalado em ramal de encaminhamento. </v>
      </c>
      <c r="D46" s="69" t="s">
        <v>19</v>
      </c>
      <c r="E46" s="63" t="n">
        <f aca="false">'Memória de Cálculo'!G733</f>
        <v>2</v>
      </c>
      <c r="F46" s="68" t="n">
        <f aca="false">'Composições '!G310</f>
        <v>13.45523</v>
      </c>
      <c r="G46" s="89" t="n">
        <f aca="false">ROUND(E46*F46,2)</f>
        <v>26.91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="65" customFormat="true" ht="25.5" hidden="false" customHeight="false" outlineLevel="0" collapsed="false">
      <c r="A47" s="90" t="s">
        <v>63</v>
      </c>
      <c r="B47" s="66" t="str">
        <f aca="false">'Composições '!B313</f>
        <v>89681/SINAPI </v>
      </c>
      <c r="C47" s="91" t="str">
        <f aca="false">'Composições '!C313</f>
        <v>Redução excêntrica, pvc, serie r, água pluvial, dn 150 x 100 mm, junta elástica, fornecido e instalado em condutores verticais de águas pluviais. </v>
      </c>
      <c r="D47" s="69" t="s">
        <v>19</v>
      </c>
      <c r="E47" s="63" t="n">
        <f aca="false">'Memória de Cálculo'!G740</f>
        <v>2</v>
      </c>
      <c r="F47" s="68" t="n">
        <f aca="false">'Composições '!G320</f>
        <v>41.1838</v>
      </c>
      <c r="G47" s="89" t="n">
        <f aca="false">ROUND(E47*F47,2)</f>
        <v>82.37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="65" customFormat="true" ht="19.5" hidden="false" customHeight="true" outlineLevel="0" collapsed="false">
      <c r="A48" s="97" t="s">
        <v>64</v>
      </c>
      <c r="B48" s="93" t="str">
        <f aca="false">'Composições '!B323</f>
        <v>89512/SINAPI </v>
      </c>
      <c r="C48" s="94" t="str">
        <f aca="false">'Composições '!C323</f>
        <v>Tubo pvc, série r, água pluvial, dn 100 mm, fornecido e instalado em ramal de encaminhamento.</v>
      </c>
      <c r="D48" s="98" t="s">
        <v>65</v>
      </c>
      <c r="E48" s="95" t="n">
        <f aca="false">'Memória de Cálculo'!G746</f>
        <v>35</v>
      </c>
      <c r="F48" s="96" t="n">
        <f aca="false">'Composições '!G331</f>
        <v>37.231659</v>
      </c>
      <c r="G48" s="89" t="n">
        <f aca="false">ROUND(E48*F48,2)</f>
        <v>1303.11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customFormat="false" ht="14.25" hidden="false" customHeight="true" outlineLevel="0" collapsed="false">
      <c r="A49" s="77" t="n">
        <v>4</v>
      </c>
      <c r="B49" s="78"/>
      <c r="C49" s="79" t="s">
        <v>66</v>
      </c>
      <c r="D49" s="80"/>
      <c r="E49" s="81"/>
      <c r="F49" s="82"/>
      <c r="G49" s="30" t="n">
        <f aca="false">G50</f>
        <v>11249.69</v>
      </c>
      <c r="H49" s="83"/>
      <c r="I49" s="99"/>
    </row>
    <row r="50" s="65" customFormat="true" ht="18.75" hidden="false" customHeight="true" outlineLevel="0" collapsed="false">
      <c r="A50" s="84" t="s">
        <v>67</v>
      </c>
      <c r="B50" s="66" t="str">
        <f aca="false">'Composições '!B334</f>
        <v>COMP.22</v>
      </c>
      <c r="C50" s="62" t="str">
        <f aca="false">'Composições '!C334</f>
        <v>Pintura de impermeabilização com aditivo cristalizante, uma demão, PENETRON ou similar.</v>
      </c>
      <c r="D50" s="61" t="s">
        <v>17</v>
      </c>
      <c r="E50" s="63" t="n">
        <f aca="false">'Memória de Cálculo'!G809</f>
        <v>535.0195</v>
      </c>
      <c r="F50" s="68" t="n">
        <f aca="false">'Composições '!G339</f>
        <v>21.0267</v>
      </c>
      <c r="G50" s="100" t="n">
        <f aca="false">ROUND(E50*F50,2)</f>
        <v>11249.69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customFormat="false" ht="13.5" hidden="false" customHeight="false" outlineLevel="0" collapsed="false">
      <c r="A51" s="77" t="n">
        <v>5</v>
      </c>
      <c r="B51" s="101"/>
      <c r="C51" s="102" t="s">
        <v>68</v>
      </c>
      <c r="D51" s="103"/>
      <c r="E51" s="104"/>
      <c r="F51" s="53"/>
      <c r="G51" s="30" t="n">
        <f aca="false">SUM(G52:G58)</f>
        <v>5011.68</v>
      </c>
      <c r="H51" s="105"/>
    </row>
    <row r="52" customFormat="false" ht="18" hidden="false" customHeight="true" outlineLevel="0" collapsed="false">
      <c r="A52" s="84" t="s">
        <v>69</v>
      </c>
      <c r="B52" s="106" t="str">
        <f aca="false">'Composições '!B343</f>
        <v>COMP.23</v>
      </c>
      <c r="C52" s="107" t="str">
        <f aca="false">'Composições '!C343</f>
        <v>Recolocação de central de ar</v>
      </c>
      <c r="D52" s="106" t="s">
        <v>21</v>
      </c>
      <c r="E52" s="108" t="n">
        <f aca="false">'Memória de Cálculo'!G817</f>
        <v>18</v>
      </c>
      <c r="F52" s="43" t="n">
        <f aca="false">'Composições '!G348</f>
        <v>11.712</v>
      </c>
      <c r="G52" s="109" t="n">
        <f aca="false">ROUND(E52*F52,2)</f>
        <v>210.82</v>
      </c>
    </row>
    <row r="53" s="116" customFormat="true" ht="19.5" hidden="false" customHeight="true" outlineLevel="0" collapsed="false">
      <c r="A53" s="84" t="s">
        <v>70</v>
      </c>
      <c r="B53" s="61" t="str">
        <f aca="false">'Composições '!B352</f>
        <v>COMP.24</v>
      </c>
      <c r="C53" s="110" t="str">
        <f aca="false">'Composições '!C352</f>
        <v>Coleta e carga manual de entulho</v>
      </c>
      <c r="D53" s="111" t="s">
        <v>35</v>
      </c>
      <c r="E53" s="108" t="n">
        <f aca="false">'Memória de Cálculo'!G830</f>
        <v>39.35707524</v>
      </c>
      <c r="F53" s="43" t="n">
        <f aca="false">'Composições '!G355</f>
        <v>12.22</v>
      </c>
      <c r="G53" s="109" t="n">
        <f aca="false">ROUND(E53*F53,2)</f>
        <v>480.94</v>
      </c>
      <c r="H53" s="112"/>
      <c r="I53" s="113"/>
      <c r="J53" s="114"/>
      <c r="K53" s="114"/>
      <c r="L53" s="114"/>
      <c r="M53" s="114"/>
      <c r="N53" s="114"/>
      <c r="O53" s="114"/>
      <c r="P53" s="114"/>
      <c r="Q53" s="114"/>
      <c r="R53" s="114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</row>
    <row r="54" s="116" customFormat="true" ht="19.5" hidden="false" customHeight="true" outlineLevel="0" collapsed="false">
      <c r="A54" s="84" t="s">
        <v>71</v>
      </c>
      <c r="B54" s="117" t="str">
        <f aca="false">'Composições '!B419</f>
        <v>COMP.31</v>
      </c>
      <c r="C54" s="118" t="str">
        <f aca="false">'Composições '!C419</f>
        <v>Acomodação de entulho em saco de rafia, 60X90 cm</v>
      </c>
      <c r="D54" s="69" t="s">
        <v>19</v>
      </c>
      <c r="E54" s="108" t="n">
        <f aca="false">'Memória de Cálculo'!F836</f>
        <v>525</v>
      </c>
      <c r="F54" s="43" t="n">
        <f aca="false">'Composições '!G423</f>
        <v>2.9532</v>
      </c>
      <c r="G54" s="109" t="n">
        <f aca="false">ROUND(E54*F54,2)</f>
        <v>1550.43</v>
      </c>
      <c r="H54" s="112"/>
      <c r="I54" s="113"/>
      <c r="J54" s="114"/>
      <c r="K54" s="114"/>
      <c r="L54" s="114"/>
      <c r="M54" s="114"/>
      <c r="N54" s="114"/>
      <c r="O54" s="114"/>
      <c r="P54" s="114"/>
      <c r="Q54" s="114"/>
      <c r="R54" s="114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</row>
    <row r="55" customFormat="false" ht="19.5" hidden="false" customHeight="true" outlineLevel="0" collapsed="false">
      <c r="A55" s="84" t="s">
        <v>72</v>
      </c>
      <c r="B55" s="119" t="str">
        <f aca="false">'Composições '!B359</f>
        <v>100201/SINAPI</v>
      </c>
      <c r="C55" s="120" t="str">
        <f aca="false">'Composições '!C359</f>
        <v>Transporte horizontal com carrinho de mão</v>
      </c>
      <c r="D55" s="119" t="s">
        <v>73</v>
      </c>
      <c r="E55" s="108" t="n">
        <f aca="false">'Memória de Cálculo'!G843</f>
        <v>771.481926210001</v>
      </c>
      <c r="F55" s="43" t="n">
        <f aca="false">'Composições '!G362</f>
        <v>0.455806</v>
      </c>
      <c r="G55" s="109" t="n">
        <f aca="false">ROUND(E55*F55,2)</f>
        <v>351.65</v>
      </c>
    </row>
    <row r="56" customFormat="false" ht="19.5" hidden="false" customHeight="true" outlineLevel="0" collapsed="false">
      <c r="A56" s="84" t="s">
        <v>74</v>
      </c>
      <c r="B56" s="119" t="str">
        <f aca="false">'Composições '!B412</f>
        <v>COMP.30</v>
      </c>
      <c r="C56" s="120" t="str">
        <f aca="false">'Composições '!C412</f>
        <v>Transporte vertical de saco de entulho em elevador, até 10 lajes</v>
      </c>
      <c r="D56" s="69" t="s">
        <v>19</v>
      </c>
      <c r="E56" s="108" t="n">
        <f aca="false">'Memória de Cálculo'!F850</f>
        <v>525</v>
      </c>
      <c r="F56" s="43" t="n">
        <f aca="false">'Composições '!G415</f>
        <v>0.3666</v>
      </c>
      <c r="G56" s="109" t="n">
        <f aca="false">ROUND(E56*F56,2)</f>
        <v>192.47</v>
      </c>
    </row>
    <row r="57" s="116" customFormat="true" ht="26.25" hidden="false" customHeight="true" outlineLevel="0" collapsed="false">
      <c r="A57" s="84" t="s">
        <v>75</v>
      </c>
      <c r="B57" s="121" t="str">
        <f aca="false">'Composições '!B435</f>
        <v>COMP.33</v>
      </c>
      <c r="C57" s="62" t="s">
        <v>76</v>
      </c>
      <c r="D57" s="69" t="s">
        <v>19</v>
      </c>
      <c r="E57" s="108" t="n">
        <f aca="false">'Memória de Cálculo'!E855</f>
        <v>8</v>
      </c>
      <c r="F57" s="43" t="n">
        <f aca="false">'Composições '!G438</f>
        <v>230</v>
      </c>
      <c r="G57" s="109" t="n">
        <f aca="false">ROUND(E57*F57,2)</f>
        <v>1840</v>
      </c>
      <c r="H57" s="112"/>
      <c r="I57" s="113"/>
      <c r="J57" s="114"/>
      <c r="K57" s="114"/>
      <c r="L57" s="114"/>
      <c r="M57" s="114"/>
      <c r="N57" s="114"/>
      <c r="O57" s="114"/>
      <c r="P57" s="114"/>
      <c r="Q57" s="114"/>
      <c r="R57" s="114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</row>
    <row r="58" s="116" customFormat="true" ht="19.5" hidden="false" customHeight="true" outlineLevel="0" collapsed="false">
      <c r="A58" s="84" t="s">
        <v>77</v>
      </c>
      <c r="B58" s="44" t="str">
        <f aca="false">'Composições '!B365</f>
        <v>COMP.25</v>
      </c>
      <c r="C58" s="34" t="str">
        <f aca="false">'Composições '!C365</f>
        <v>Limpeza geral</v>
      </c>
      <c r="D58" s="122" t="s">
        <v>17</v>
      </c>
      <c r="E58" s="108" t="n">
        <f aca="false">'Memória de Cálculo'!G863</f>
        <v>234.43</v>
      </c>
      <c r="F58" s="43" t="n">
        <f aca="false">'Composições '!G370</f>
        <v>1.64385</v>
      </c>
      <c r="G58" s="109" t="n">
        <f aca="false">ROUND(E58*F58,2)</f>
        <v>385.37</v>
      </c>
      <c r="H58" s="112"/>
      <c r="I58" s="113"/>
      <c r="J58" s="114"/>
      <c r="K58" s="114"/>
      <c r="L58" s="114"/>
      <c r="M58" s="114"/>
      <c r="N58" s="114"/>
      <c r="O58" s="114"/>
      <c r="P58" s="114"/>
      <c r="Q58" s="114"/>
      <c r="R58" s="114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</row>
    <row r="59" s="116" customFormat="true" ht="15.75" hidden="false" customHeight="false" outlineLevel="0" collapsed="false">
      <c r="A59" s="123" t="n">
        <v>6</v>
      </c>
      <c r="B59" s="124"/>
      <c r="C59" s="125" t="s">
        <v>78</v>
      </c>
      <c r="D59" s="103"/>
      <c r="E59" s="103"/>
      <c r="F59" s="126"/>
      <c r="G59" s="127" t="n">
        <f aca="false">SUM(G60:G63)</f>
        <v>39737.11</v>
      </c>
      <c r="H59" s="128"/>
      <c r="I59" s="113"/>
      <c r="J59" s="114"/>
      <c r="K59" s="114"/>
      <c r="L59" s="114"/>
      <c r="M59" s="114"/>
      <c r="N59" s="114"/>
      <c r="O59" s="114"/>
      <c r="P59" s="114"/>
      <c r="Q59" s="114"/>
      <c r="R59" s="114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</row>
    <row r="60" s="116" customFormat="true" ht="19.5" hidden="false" customHeight="true" outlineLevel="0" collapsed="false">
      <c r="A60" s="129" t="s">
        <v>79</v>
      </c>
      <c r="B60" s="130" t="str">
        <f aca="false">'Composições '!B374</f>
        <v>COMP.26</v>
      </c>
      <c r="C60" s="131" t="str">
        <f aca="false">'Composições '!C374</f>
        <v>Administração local</v>
      </c>
      <c r="D60" s="132" t="s">
        <v>19</v>
      </c>
      <c r="E60" s="133" t="n">
        <v>1</v>
      </c>
      <c r="F60" s="134" t="n">
        <f aca="false">'Composições '!G378</f>
        <v>36952.44</v>
      </c>
      <c r="G60" s="135" t="n">
        <f aca="false">ROUND(E60*F60,2)</f>
        <v>36952.44</v>
      </c>
      <c r="H60" s="112"/>
      <c r="I60" s="113"/>
      <c r="J60" s="114"/>
      <c r="K60" s="114"/>
      <c r="L60" s="114"/>
      <c r="M60" s="114"/>
      <c r="N60" s="114"/>
      <c r="O60" s="114"/>
      <c r="P60" s="114"/>
      <c r="Q60" s="114"/>
      <c r="R60" s="114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</row>
    <row r="61" s="116" customFormat="true" ht="19.5" hidden="false" customHeight="true" outlineLevel="0" collapsed="false">
      <c r="A61" s="90" t="s">
        <v>80</v>
      </c>
      <c r="B61" s="44" t="s">
        <v>81</v>
      </c>
      <c r="C61" s="34" t="s">
        <v>82</v>
      </c>
      <c r="D61" s="122" t="s">
        <v>19</v>
      </c>
      <c r="E61" s="58" t="n">
        <v>1</v>
      </c>
      <c r="F61" s="37" t="n">
        <f aca="false">(1000+1080+1300)/3</f>
        <v>1126.66666666667</v>
      </c>
      <c r="G61" s="136" t="n">
        <f aca="false">ROUND(E61*F61,2)</f>
        <v>1126.67</v>
      </c>
      <c r="H61" s="112"/>
      <c r="I61" s="113"/>
      <c r="J61" s="114"/>
      <c r="K61" s="114"/>
      <c r="L61" s="114"/>
      <c r="M61" s="114"/>
      <c r="N61" s="114"/>
      <c r="O61" s="114"/>
      <c r="P61" s="114"/>
      <c r="Q61" s="114"/>
      <c r="R61" s="114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</row>
    <row r="62" s="116" customFormat="true" ht="19.5" hidden="false" customHeight="true" outlineLevel="0" collapsed="false">
      <c r="A62" s="90" t="s">
        <v>83</v>
      </c>
      <c r="B62" s="44" t="s">
        <v>81</v>
      </c>
      <c r="C62" s="34" t="s">
        <v>84</v>
      </c>
      <c r="D62" s="122" t="s">
        <v>19</v>
      </c>
      <c r="E62" s="58" t="n">
        <v>1</v>
      </c>
      <c r="F62" s="37" t="n">
        <f aca="false">(1500+1600+1370)/3</f>
        <v>1490</v>
      </c>
      <c r="G62" s="137" t="n">
        <f aca="false">ROUND(E62*F62,2)</f>
        <v>1490</v>
      </c>
      <c r="H62" s="112"/>
      <c r="I62" s="113"/>
      <c r="J62" s="114"/>
      <c r="K62" s="114"/>
      <c r="L62" s="114"/>
      <c r="M62" s="114"/>
      <c r="N62" s="114"/>
      <c r="O62" s="114"/>
      <c r="P62" s="114"/>
      <c r="Q62" s="114"/>
      <c r="R62" s="114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</row>
    <row r="63" s="116" customFormat="true" ht="19.5" hidden="false" customHeight="true" outlineLevel="0" collapsed="false">
      <c r="A63" s="138" t="s">
        <v>85</v>
      </c>
      <c r="B63" s="139" t="str">
        <f aca="false">'Composições '!B442</f>
        <v>COMP.34</v>
      </c>
      <c r="C63" s="140" t="str">
        <f aca="false">'Composições '!C442</f>
        <v>Controle tecnológico do concreto</v>
      </c>
      <c r="D63" s="141" t="s">
        <v>19</v>
      </c>
      <c r="E63" s="142" t="n">
        <f aca="false">12</f>
        <v>12</v>
      </c>
      <c r="F63" s="143" t="n">
        <f aca="false">'Composições '!G445</f>
        <v>14</v>
      </c>
      <c r="G63" s="144" t="n">
        <f aca="false">ROUND(E63*F63,2)</f>
        <v>168</v>
      </c>
      <c r="H63" s="112"/>
      <c r="I63" s="113"/>
      <c r="J63" s="114"/>
      <c r="K63" s="114"/>
      <c r="L63" s="114"/>
      <c r="M63" s="114"/>
      <c r="N63" s="114"/>
      <c r="O63" s="114"/>
      <c r="P63" s="114"/>
      <c r="Q63" s="114"/>
      <c r="R63" s="114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</row>
    <row r="64" customFormat="false" ht="15.75" hidden="false" customHeight="true" outlineLevel="0" collapsed="false">
      <c r="A64" s="145" t="s">
        <v>86</v>
      </c>
      <c r="B64" s="145"/>
      <c r="C64" s="145"/>
      <c r="D64" s="145"/>
      <c r="E64" s="145"/>
      <c r="F64" s="145"/>
      <c r="G64" s="30" t="n">
        <f aca="false">G7+G19+G42+G49+G51+G59</f>
        <v>173542.12</v>
      </c>
      <c r="H64" s="128"/>
      <c r="I64" s="113"/>
      <c r="J64" s="114"/>
      <c r="K64" s="114"/>
      <c r="L64" s="114"/>
      <c r="M64" s="114"/>
      <c r="N64" s="114"/>
      <c r="O64" s="114"/>
      <c r="P64" s="114"/>
      <c r="Q64" s="114"/>
      <c r="R64" s="114"/>
    </row>
    <row r="65" customFormat="false" ht="15.75" hidden="false" customHeight="false" outlineLevel="0" collapsed="false">
      <c r="A65" s="146"/>
      <c r="B65" s="147"/>
      <c r="C65" s="148"/>
      <c r="D65" s="149"/>
      <c r="E65" s="150"/>
      <c r="F65" s="151"/>
      <c r="G65" s="152"/>
      <c r="H65" s="112"/>
      <c r="I65" s="113"/>
      <c r="J65" s="114"/>
      <c r="K65" s="114"/>
      <c r="L65" s="114"/>
      <c r="M65" s="114"/>
      <c r="N65" s="114"/>
      <c r="O65" s="114"/>
      <c r="P65" s="114"/>
      <c r="Q65" s="114"/>
    </row>
    <row r="66" customFormat="false" ht="15.75" hidden="false" customHeight="true" outlineLevel="0" collapsed="false">
      <c r="A66" s="153" t="s">
        <v>87</v>
      </c>
      <c r="B66" s="153"/>
      <c r="C66" s="153"/>
      <c r="D66" s="153"/>
      <c r="E66" s="153"/>
      <c r="F66" s="153"/>
      <c r="G66" s="154" t="n">
        <f aca="false">G64*BDI!D27</f>
        <v>54266.620924</v>
      </c>
    </row>
    <row r="67" customFormat="false" ht="14.25" hidden="false" customHeight="false" outlineLevel="0" collapsed="false">
      <c r="A67" s="155"/>
      <c r="B67" s="156"/>
      <c r="C67" s="157"/>
      <c r="D67" s="158"/>
      <c r="E67" s="159"/>
      <c r="F67" s="160"/>
      <c r="G67" s="161"/>
    </row>
    <row r="68" customFormat="false" ht="15.75" hidden="false" customHeight="true" outlineLevel="0" collapsed="false">
      <c r="A68" s="162" t="s">
        <v>88</v>
      </c>
      <c r="B68" s="162"/>
      <c r="C68" s="162"/>
      <c r="D68" s="162"/>
      <c r="E68" s="162"/>
      <c r="F68" s="162"/>
      <c r="G68" s="163" t="n">
        <f aca="false">G64+G66</f>
        <v>227808.740924</v>
      </c>
      <c r="H68" s="105"/>
      <c r="I68" s="105"/>
    </row>
  </sheetData>
  <mergeCells count="7">
    <mergeCell ref="A1:G2"/>
    <mergeCell ref="B3:G3"/>
    <mergeCell ref="B4:G4"/>
    <mergeCell ref="B5:E5"/>
    <mergeCell ref="A64:F64"/>
    <mergeCell ref="A66:F66"/>
    <mergeCell ref="A68:F68"/>
  </mergeCells>
  <printOptions headings="false" gridLines="false" gridLinesSet="true" horizontalCentered="true" verticalCentered="true"/>
  <pageMargins left="0.511805555555555" right="0.511805555555555" top="0.39375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C890"/>
  <sheetViews>
    <sheetView showFormulas="false" showGridLines="true" showRowColHeaders="true" showZeros="true" rightToLeft="false" tabSelected="false" showOutlineSymbols="true" defaultGridColor="true" view="normal" topLeftCell="A877" colorId="64" zoomScale="85" zoomScaleNormal="85" zoomScalePageLayoutView="70" workbookViewId="0">
      <selection pane="topLeft" activeCell="E895" activeCellId="0" sqref="E895"/>
    </sheetView>
  </sheetViews>
  <sheetFormatPr defaultRowHeight="15" zeroHeight="false" outlineLevelRow="0" outlineLevelCol="0"/>
  <cols>
    <col collapsed="false" customWidth="true" hidden="false" outlineLevel="0" max="1" min="1" style="164" width="6.15"/>
    <col collapsed="false" customWidth="true" hidden="false" outlineLevel="0" max="2" min="2" style="165" width="50"/>
    <col collapsed="false" customWidth="true" hidden="false" outlineLevel="0" max="3" min="3" style="166" width="17.71"/>
    <col collapsed="false" customWidth="true" hidden="false" outlineLevel="0" max="4" min="4" style="166" width="19"/>
    <col collapsed="false" customWidth="true" hidden="false" outlineLevel="0" max="6" min="5" style="167" width="18"/>
    <col collapsed="false" customWidth="true" hidden="false" outlineLevel="0" max="8" min="7" style="168" width="24.29"/>
    <col collapsed="false" customWidth="true" hidden="false" outlineLevel="0" max="9" min="9" style="168" width="16.14"/>
    <col collapsed="false" customWidth="true" hidden="false" outlineLevel="0" max="10" min="10" style="168" width="17.71"/>
    <col collapsed="false" customWidth="true" hidden="false" outlineLevel="0" max="11" min="11" style="168" width="8.14"/>
    <col collapsed="false" customWidth="true" hidden="false" outlineLevel="0" max="12" min="12" style="168" width="9"/>
    <col collapsed="false" customWidth="true" hidden="false" outlineLevel="0" max="13" min="13" style="168" width="7"/>
    <col collapsed="false" customWidth="true" hidden="false" outlineLevel="0" max="14" min="14" style="168" width="8.86"/>
    <col collapsed="false" customWidth="true" hidden="false" outlineLevel="0" max="15" min="15" style="168" width="7"/>
    <col collapsed="false" customWidth="true" hidden="false" outlineLevel="0" max="16" min="16" style="168" width="8.29"/>
    <col collapsed="false" customWidth="true" hidden="false" outlineLevel="0" max="1025" min="17" style="168" width="9.14"/>
  </cols>
  <sheetData>
    <row r="1" s="172" customFormat="true" ht="78.75" hidden="false" customHeight="true" outlineLevel="0" collapsed="false">
      <c r="A1" s="169" t="s">
        <v>89</v>
      </c>
      <c r="B1" s="169"/>
      <c r="C1" s="169"/>
      <c r="D1" s="169"/>
      <c r="E1" s="169"/>
      <c r="F1" s="169"/>
      <c r="G1" s="169"/>
      <c r="H1" s="170"/>
      <c r="I1" s="171"/>
    </row>
    <row r="2" s="172" customFormat="true" ht="18" hidden="false" customHeight="true" outlineLevel="0" collapsed="false">
      <c r="A2" s="173" t="s">
        <v>90</v>
      </c>
      <c r="B2" s="173"/>
      <c r="C2" s="173"/>
      <c r="D2" s="173"/>
      <c r="E2" s="173"/>
      <c r="F2" s="173"/>
      <c r="G2" s="173"/>
      <c r="H2" s="174"/>
    </row>
    <row r="3" s="172" customFormat="true" ht="15" hidden="false" customHeight="false" outlineLevel="0" collapsed="false">
      <c r="A3" s="175"/>
      <c r="B3" s="176"/>
      <c r="C3" s="177"/>
      <c r="D3" s="177"/>
      <c r="E3" s="177"/>
    </row>
    <row r="4" s="172" customFormat="true" ht="15" hidden="false" customHeight="false" outlineLevel="0" collapsed="false">
      <c r="A4" s="178" t="n">
        <v>1</v>
      </c>
      <c r="B4" s="179" t="s">
        <v>15</v>
      </c>
      <c r="C4" s="177"/>
      <c r="D4" s="177"/>
      <c r="E4" s="177"/>
    </row>
    <row r="5" s="172" customFormat="true" ht="15" hidden="false" customHeight="false" outlineLevel="0" collapsed="false">
      <c r="A5" s="180"/>
      <c r="B5" s="181"/>
      <c r="C5" s="177"/>
      <c r="D5" s="177"/>
      <c r="E5" s="177"/>
    </row>
    <row r="6" s="172" customFormat="true" ht="15" hidden="false" customHeight="false" outlineLevel="0" collapsed="false">
      <c r="A6" s="182" t="s">
        <v>16</v>
      </c>
      <c r="B6" s="183" t="str">
        <f aca="false">'Composições '!C5</f>
        <v>Placa de obra em chapa de aco galvanizado</v>
      </c>
      <c r="C6" s="177"/>
      <c r="D6" s="177"/>
      <c r="E6" s="177"/>
    </row>
    <row r="7" s="172" customFormat="true" ht="15.75" hidden="false" customHeight="false" outlineLevel="0" collapsed="false">
      <c r="A7" s="182"/>
      <c r="B7" s="184"/>
      <c r="C7" s="177"/>
      <c r="D7" s="177"/>
      <c r="E7" s="177"/>
    </row>
    <row r="8" s="172" customFormat="true" ht="15" hidden="false" customHeight="false" outlineLevel="0" collapsed="false">
      <c r="A8" s="180"/>
      <c r="B8" s="185" t="s">
        <v>91</v>
      </c>
      <c r="C8" s="186" t="s">
        <v>92</v>
      </c>
      <c r="D8" s="186" t="s">
        <v>93</v>
      </c>
      <c r="E8" s="187" t="s">
        <v>94</v>
      </c>
      <c r="F8" s="187" t="s">
        <v>95</v>
      </c>
      <c r="G8" s="188" t="s">
        <v>96</v>
      </c>
    </row>
    <row r="9" s="172" customFormat="true" ht="15" hidden="false" customHeight="false" outlineLevel="0" collapsed="false">
      <c r="A9" s="180"/>
      <c r="B9" s="189" t="s">
        <v>97</v>
      </c>
      <c r="C9" s="190"/>
      <c r="D9" s="190" t="n">
        <v>1.5</v>
      </c>
      <c r="E9" s="191" t="n">
        <v>3</v>
      </c>
      <c r="F9" s="191"/>
      <c r="G9" s="192" t="n">
        <f aca="false">D9*E9</f>
        <v>4.5</v>
      </c>
    </row>
    <row r="10" s="172" customFormat="true" ht="15.75" hidden="false" customHeight="false" outlineLevel="0" collapsed="false">
      <c r="A10" s="180"/>
      <c r="B10" s="193" t="s">
        <v>98</v>
      </c>
      <c r="C10" s="193"/>
      <c r="D10" s="193"/>
      <c r="E10" s="193"/>
      <c r="F10" s="193"/>
      <c r="G10" s="194" t="n">
        <f aca="false">SUM(G9:G9)</f>
        <v>4.5</v>
      </c>
    </row>
    <row r="11" s="172" customFormat="true" ht="15" hidden="false" customHeight="false" outlineLevel="0" collapsed="false">
      <c r="A11" s="180"/>
      <c r="B11" s="195"/>
      <c r="C11" s="177"/>
      <c r="D11" s="177"/>
      <c r="E11" s="196"/>
    </row>
    <row r="12" s="172" customFormat="true" ht="15" hidden="false" customHeight="false" outlineLevel="0" collapsed="false">
      <c r="A12" s="182" t="s">
        <v>18</v>
      </c>
      <c r="B12" s="195" t="str">
        <f aca="false">'Composições '!C17</f>
        <v>Retirada de blocos de isopor</v>
      </c>
      <c r="C12" s="177"/>
      <c r="D12" s="177"/>
      <c r="E12" s="197"/>
    </row>
    <row r="13" s="172" customFormat="true" ht="15.75" hidden="false" customHeight="false" outlineLevel="0" collapsed="false">
      <c r="A13" s="182"/>
      <c r="B13" s="184"/>
      <c r="C13" s="198"/>
      <c r="D13" s="198"/>
      <c r="E13" s="197"/>
    </row>
    <row r="14" s="172" customFormat="true" ht="15" hidden="false" customHeight="false" outlineLevel="0" collapsed="false">
      <c r="A14" s="180"/>
      <c r="B14" s="185" t="s">
        <v>91</v>
      </c>
      <c r="C14" s="186" t="s">
        <v>92</v>
      </c>
      <c r="D14" s="186" t="s">
        <v>93</v>
      </c>
      <c r="E14" s="187" t="s">
        <v>94</v>
      </c>
      <c r="F14" s="187" t="s">
        <v>99</v>
      </c>
      <c r="G14" s="188" t="s">
        <v>100</v>
      </c>
    </row>
    <row r="15" s="172" customFormat="true" ht="15" hidden="false" customHeight="false" outlineLevel="0" collapsed="false">
      <c r="A15" s="180"/>
      <c r="B15" s="189" t="s">
        <v>101</v>
      </c>
      <c r="C15" s="199" t="n">
        <v>90</v>
      </c>
      <c r="D15" s="199"/>
      <c r="E15" s="200"/>
      <c r="F15" s="200" t="n">
        <v>12</v>
      </c>
      <c r="G15" s="201" t="n">
        <f aca="false">C15-F15</f>
        <v>78</v>
      </c>
    </row>
    <row r="16" s="172" customFormat="true" ht="15" hidden="false" customHeight="false" outlineLevel="0" collapsed="false">
      <c r="A16" s="180"/>
      <c r="B16" s="189" t="s">
        <v>102</v>
      </c>
      <c r="C16" s="199" t="n">
        <v>90</v>
      </c>
      <c r="D16" s="199"/>
      <c r="E16" s="200"/>
      <c r="F16" s="200" t="n">
        <v>16</v>
      </c>
      <c r="G16" s="201" t="n">
        <f aca="false">C16-F16</f>
        <v>74</v>
      </c>
    </row>
    <row r="17" s="172" customFormat="true" ht="15" hidden="false" customHeight="false" outlineLevel="0" collapsed="false">
      <c r="A17" s="180"/>
      <c r="B17" s="189" t="s">
        <v>103</v>
      </c>
      <c r="C17" s="199" t="n">
        <v>100</v>
      </c>
      <c r="D17" s="199"/>
      <c r="E17" s="200"/>
      <c r="F17" s="200" t="n">
        <v>18</v>
      </c>
      <c r="G17" s="201" t="n">
        <f aca="false">C17-F17</f>
        <v>82</v>
      </c>
    </row>
    <row r="18" s="172" customFormat="true" ht="15" hidden="false" customHeight="false" outlineLevel="0" collapsed="false">
      <c r="A18" s="180"/>
      <c r="B18" s="189" t="s">
        <v>104</v>
      </c>
      <c r="C18" s="199" t="n">
        <v>81</v>
      </c>
      <c r="D18" s="199"/>
      <c r="E18" s="200"/>
      <c r="F18" s="200" t="n">
        <v>15</v>
      </c>
      <c r="G18" s="201" t="n">
        <f aca="false">C18-F18</f>
        <v>66</v>
      </c>
    </row>
    <row r="19" s="172" customFormat="true" ht="15" hidden="false" customHeight="false" outlineLevel="0" collapsed="false">
      <c r="A19" s="180"/>
      <c r="B19" s="189" t="s">
        <v>105</v>
      </c>
      <c r="C19" s="199" t="n">
        <v>81</v>
      </c>
      <c r="D19" s="199"/>
      <c r="E19" s="200"/>
      <c r="F19" s="200" t="n">
        <v>18</v>
      </c>
      <c r="G19" s="201" t="n">
        <f aca="false">C19-F19</f>
        <v>63</v>
      </c>
    </row>
    <row r="20" s="172" customFormat="true" ht="15" hidden="false" customHeight="false" outlineLevel="0" collapsed="false">
      <c r="A20" s="180"/>
      <c r="B20" s="202" t="s">
        <v>106</v>
      </c>
      <c r="C20" s="203" t="n">
        <v>90</v>
      </c>
      <c r="D20" s="204"/>
      <c r="E20" s="191"/>
      <c r="F20" s="205" t="n">
        <v>18</v>
      </c>
      <c r="G20" s="201" t="n">
        <f aca="false">C20-F20</f>
        <v>72</v>
      </c>
    </row>
    <row r="21" s="172" customFormat="true" ht="15" hidden="false" customHeight="false" outlineLevel="0" collapsed="false">
      <c r="A21" s="180"/>
      <c r="B21" s="206" t="s">
        <v>107</v>
      </c>
      <c r="C21" s="203" t="n">
        <v>64</v>
      </c>
      <c r="D21" s="207"/>
      <c r="E21" s="191"/>
      <c r="F21" s="208"/>
      <c r="G21" s="201" t="n">
        <f aca="false">C21-F21</f>
        <v>64</v>
      </c>
    </row>
    <row r="22" s="172" customFormat="true" ht="15.75" hidden="false" customHeight="false" outlineLevel="0" collapsed="false">
      <c r="A22" s="180"/>
      <c r="B22" s="193" t="s">
        <v>108</v>
      </c>
      <c r="C22" s="193"/>
      <c r="D22" s="193"/>
      <c r="E22" s="193"/>
      <c r="F22" s="193"/>
      <c r="G22" s="194" t="n">
        <f aca="false">SUM(G15:G21)</f>
        <v>499</v>
      </c>
    </row>
    <row r="23" s="172" customFormat="true" ht="15" hidden="false" customHeight="false" outlineLevel="0" collapsed="false">
      <c r="A23" s="180"/>
      <c r="B23" s="195"/>
      <c r="C23" s="177"/>
      <c r="D23" s="177"/>
      <c r="E23" s="196"/>
    </row>
    <row r="24" s="210" customFormat="true" ht="15" hidden="false" customHeight="false" outlineLevel="0" collapsed="false">
      <c r="A24" s="182" t="s">
        <v>20</v>
      </c>
      <c r="B24" s="195" t="str">
        <f aca="false">'Composições '!C23</f>
        <v>Remoção de tubulações (tubos e conexões) de água fria, de forma manual, sem reaproveitamento. </v>
      </c>
      <c r="C24" s="177"/>
      <c r="D24" s="177"/>
      <c r="E24" s="209"/>
      <c r="H24" s="172"/>
      <c r="I24" s="172"/>
      <c r="J24" s="172"/>
    </row>
    <row r="25" s="210" customFormat="true" ht="15.75" hidden="false" customHeight="false" outlineLevel="0" collapsed="false">
      <c r="A25" s="182"/>
      <c r="B25" s="195"/>
      <c r="C25" s="177"/>
      <c r="D25" s="177"/>
      <c r="E25" s="209"/>
      <c r="F25" s="209"/>
      <c r="G25" s="211"/>
      <c r="H25" s="172"/>
      <c r="I25" s="172"/>
      <c r="J25" s="172"/>
    </row>
    <row r="26" s="210" customFormat="true" ht="15" hidden="false" customHeight="false" outlineLevel="0" collapsed="false">
      <c r="A26" s="180"/>
      <c r="B26" s="185" t="s">
        <v>91</v>
      </c>
      <c r="C26" s="186" t="s">
        <v>109</v>
      </c>
      <c r="D26" s="186" t="s">
        <v>94</v>
      </c>
      <c r="E26" s="187" t="s">
        <v>110</v>
      </c>
      <c r="F26" s="187" t="s">
        <v>93</v>
      </c>
      <c r="G26" s="188" t="s">
        <v>94</v>
      </c>
      <c r="H26" s="172"/>
      <c r="I26" s="172"/>
      <c r="J26" s="172"/>
    </row>
    <row r="27" s="210" customFormat="true" ht="15" hidden="false" customHeight="false" outlineLevel="0" collapsed="false">
      <c r="A27" s="180"/>
      <c r="B27" s="189" t="s">
        <v>111</v>
      </c>
      <c r="C27" s="199"/>
      <c r="D27" s="199" t="n">
        <v>35.35</v>
      </c>
      <c r="E27" s="212"/>
      <c r="F27" s="200"/>
      <c r="G27" s="192" t="n">
        <f aca="false">D27</f>
        <v>35.35</v>
      </c>
      <c r="H27" s="172"/>
      <c r="I27" s="172"/>
    </row>
    <row r="28" s="210" customFormat="true" ht="15.75" hidden="false" customHeight="false" outlineLevel="0" collapsed="false">
      <c r="A28" s="180"/>
      <c r="B28" s="193" t="s">
        <v>112</v>
      </c>
      <c r="C28" s="193"/>
      <c r="D28" s="193"/>
      <c r="E28" s="193"/>
      <c r="F28" s="193"/>
      <c r="G28" s="194" t="n">
        <f aca="false">SUM(G27:G27)</f>
        <v>35.35</v>
      </c>
      <c r="H28" s="172"/>
      <c r="I28" s="172"/>
    </row>
    <row r="29" s="210" customFormat="true" ht="15" hidden="false" customHeight="false" outlineLevel="0" collapsed="false">
      <c r="A29" s="180"/>
      <c r="B29" s="195"/>
      <c r="C29" s="177"/>
      <c r="D29" s="177"/>
      <c r="E29" s="177"/>
      <c r="F29" s="213"/>
      <c r="G29" s="214"/>
      <c r="H29" s="172"/>
      <c r="I29" s="172"/>
    </row>
    <row r="30" s="210" customFormat="true" ht="15" hidden="false" customHeight="false" outlineLevel="0" collapsed="false">
      <c r="A30" s="182" t="s">
        <v>22</v>
      </c>
      <c r="B30" s="195" t="str">
        <f aca="false">'Composições '!C30</f>
        <v>Retirada de eletrodutos aparentes - até 2"</v>
      </c>
      <c r="C30" s="177"/>
      <c r="D30" s="177"/>
      <c r="E30" s="177"/>
      <c r="H30" s="172"/>
      <c r="I30" s="172"/>
      <c r="J30" s="172"/>
    </row>
    <row r="31" s="210" customFormat="true" ht="15.75" hidden="false" customHeight="false" outlineLevel="0" collapsed="false">
      <c r="A31" s="182"/>
      <c r="B31" s="195"/>
      <c r="C31" s="177"/>
      <c r="D31" s="177"/>
      <c r="E31" s="177"/>
      <c r="F31" s="209"/>
      <c r="G31" s="211"/>
      <c r="H31" s="172"/>
      <c r="I31" s="172"/>
      <c r="J31" s="172"/>
    </row>
    <row r="32" s="210" customFormat="true" ht="15" hidden="false" customHeight="false" outlineLevel="0" collapsed="false">
      <c r="A32" s="180"/>
      <c r="B32" s="185" t="s">
        <v>91</v>
      </c>
      <c r="C32" s="215" t="s">
        <v>109</v>
      </c>
      <c r="D32" s="215" t="s">
        <v>94</v>
      </c>
      <c r="E32" s="187" t="s">
        <v>110</v>
      </c>
      <c r="F32" s="187" t="s">
        <v>93</v>
      </c>
      <c r="G32" s="188" t="s">
        <v>94</v>
      </c>
      <c r="H32" s="172"/>
      <c r="I32" s="172"/>
      <c r="J32" s="172"/>
    </row>
    <row r="33" s="210" customFormat="true" ht="15" hidden="false" customHeight="false" outlineLevel="0" collapsed="false">
      <c r="A33" s="180"/>
      <c r="B33" s="216" t="s">
        <v>111</v>
      </c>
      <c r="C33" s="203"/>
      <c r="D33" s="203" t="n">
        <v>55.26</v>
      </c>
      <c r="E33" s="191"/>
      <c r="F33" s="191"/>
      <c r="G33" s="217" t="n">
        <f aca="false">D33</f>
        <v>55.26</v>
      </c>
      <c r="H33" s="172"/>
      <c r="I33" s="172"/>
    </row>
    <row r="34" s="210" customFormat="true" ht="15" hidden="false" customHeight="false" outlineLevel="0" collapsed="false">
      <c r="A34" s="180"/>
      <c r="B34" s="216" t="s">
        <v>113</v>
      </c>
      <c r="C34" s="203"/>
      <c r="D34" s="203" t="n">
        <v>5.14</v>
      </c>
      <c r="E34" s="191"/>
      <c r="F34" s="191"/>
      <c r="G34" s="217" t="n">
        <f aca="false">D34</f>
        <v>5.14</v>
      </c>
      <c r="H34" s="172"/>
      <c r="I34" s="172"/>
    </row>
    <row r="35" s="210" customFormat="true" ht="15.75" hidden="false" customHeight="false" outlineLevel="0" collapsed="false">
      <c r="A35" s="180"/>
      <c r="B35" s="193" t="s">
        <v>112</v>
      </c>
      <c r="C35" s="193"/>
      <c r="D35" s="193"/>
      <c r="E35" s="193"/>
      <c r="F35" s="193"/>
      <c r="G35" s="194" t="n">
        <f aca="false">SUM(G33:G34)</f>
        <v>60.4</v>
      </c>
      <c r="H35" s="172"/>
      <c r="I35" s="172"/>
    </row>
    <row r="36" s="210" customFormat="true" ht="15" hidden="false" customHeight="false" outlineLevel="0" collapsed="false">
      <c r="A36" s="180"/>
      <c r="B36" s="195"/>
      <c r="C36" s="177"/>
      <c r="D36" s="177"/>
      <c r="E36" s="177"/>
      <c r="F36" s="213"/>
      <c r="G36" s="214"/>
      <c r="H36" s="172"/>
      <c r="I36" s="172"/>
    </row>
    <row r="37" s="210" customFormat="true" ht="15" hidden="false" customHeight="false" outlineLevel="0" collapsed="false">
      <c r="A37" s="182" t="s">
        <v>23</v>
      </c>
      <c r="B37" s="195" t="str">
        <f aca="false">'Composições '!C38</f>
        <v>Remoção de luminárias, de forma manual, sem reaproveitamento.</v>
      </c>
      <c r="C37" s="177"/>
      <c r="D37" s="177"/>
      <c r="E37" s="177"/>
      <c r="H37" s="172"/>
      <c r="I37" s="172"/>
      <c r="J37" s="172"/>
    </row>
    <row r="38" s="210" customFormat="true" ht="15.75" hidden="false" customHeight="false" outlineLevel="0" collapsed="false">
      <c r="A38" s="182"/>
      <c r="B38" s="195"/>
      <c r="C38" s="177"/>
      <c r="D38" s="177"/>
      <c r="E38" s="177"/>
      <c r="F38" s="209"/>
      <c r="G38" s="211"/>
      <c r="H38" s="172"/>
      <c r="I38" s="172"/>
      <c r="J38" s="172"/>
    </row>
    <row r="39" s="210" customFormat="true" ht="15" hidden="false" customHeight="false" outlineLevel="0" collapsed="false">
      <c r="A39" s="180"/>
      <c r="B39" s="185" t="s">
        <v>91</v>
      </c>
      <c r="C39" s="215" t="s">
        <v>109</v>
      </c>
      <c r="D39" s="215" t="s">
        <v>94</v>
      </c>
      <c r="E39" s="187" t="s">
        <v>110</v>
      </c>
      <c r="F39" s="187" t="s">
        <v>93</v>
      </c>
      <c r="G39" s="188" t="s">
        <v>100</v>
      </c>
      <c r="H39" s="172"/>
      <c r="I39" s="172"/>
      <c r="J39" s="172"/>
    </row>
    <row r="40" s="210" customFormat="true" ht="15" hidden="false" customHeight="false" outlineLevel="0" collapsed="false">
      <c r="A40" s="180"/>
      <c r="B40" s="216" t="s">
        <v>113</v>
      </c>
      <c r="C40" s="203" t="n">
        <v>2</v>
      </c>
      <c r="D40" s="203"/>
      <c r="E40" s="191"/>
      <c r="F40" s="191"/>
      <c r="G40" s="217" t="n">
        <v>2</v>
      </c>
      <c r="H40" s="172"/>
      <c r="I40" s="172"/>
    </row>
    <row r="41" s="210" customFormat="true" ht="15.75" hidden="false" customHeight="false" outlineLevel="0" collapsed="false">
      <c r="A41" s="180"/>
      <c r="B41" s="193" t="s">
        <v>108</v>
      </c>
      <c r="C41" s="193"/>
      <c r="D41" s="193"/>
      <c r="E41" s="193"/>
      <c r="F41" s="193"/>
      <c r="G41" s="194" t="n">
        <f aca="false">SUM(G40:G40)</f>
        <v>2</v>
      </c>
      <c r="H41" s="172"/>
      <c r="I41" s="172"/>
    </row>
    <row r="42" s="210" customFormat="true" ht="15" hidden="false" customHeight="false" outlineLevel="0" collapsed="false">
      <c r="A42" s="180"/>
      <c r="B42" s="195"/>
      <c r="C42" s="177"/>
      <c r="D42" s="177"/>
      <c r="E42" s="177"/>
      <c r="F42" s="213"/>
      <c r="G42" s="214"/>
      <c r="H42" s="172"/>
      <c r="I42" s="172"/>
    </row>
    <row r="43" s="210" customFormat="true" ht="15" hidden="false" customHeight="false" outlineLevel="0" collapsed="false">
      <c r="A43" s="182" t="s">
        <v>24</v>
      </c>
      <c r="B43" s="195" t="str">
        <f aca="false">'Composições '!C45</f>
        <v>Retirada de central de ar</v>
      </c>
      <c r="C43" s="177"/>
      <c r="D43" s="177"/>
      <c r="E43" s="177"/>
      <c r="H43" s="172"/>
      <c r="I43" s="172"/>
    </row>
    <row r="44" s="210" customFormat="true" ht="15.75" hidden="false" customHeight="false" outlineLevel="0" collapsed="false">
      <c r="A44" s="182"/>
      <c r="B44" s="195"/>
      <c r="C44" s="177"/>
      <c r="D44" s="177"/>
      <c r="E44" s="177"/>
      <c r="F44" s="209"/>
      <c r="G44" s="211"/>
      <c r="H44" s="172"/>
      <c r="I44" s="172"/>
    </row>
    <row r="45" s="210" customFormat="true" ht="15" hidden="false" customHeight="false" outlineLevel="0" collapsed="false">
      <c r="A45" s="180"/>
      <c r="B45" s="185" t="s">
        <v>91</v>
      </c>
      <c r="C45" s="186" t="s">
        <v>109</v>
      </c>
      <c r="D45" s="186" t="s">
        <v>94</v>
      </c>
      <c r="E45" s="187" t="s">
        <v>110</v>
      </c>
      <c r="F45" s="187" t="s">
        <v>93</v>
      </c>
      <c r="G45" s="188" t="s">
        <v>94</v>
      </c>
      <c r="H45" s="172"/>
      <c r="I45" s="172"/>
    </row>
    <row r="46" s="210" customFormat="true" ht="15" hidden="false" customHeight="false" outlineLevel="0" collapsed="false">
      <c r="A46" s="180"/>
      <c r="B46" s="189" t="s">
        <v>111</v>
      </c>
      <c r="C46" s="199"/>
      <c r="D46" s="199" t="n">
        <v>18</v>
      </c>
      <c r="E46" s="212"/>
      <c r="F46" s="200"/>
      <c r="G46" s="192" t="n">
        <f aca="false">D46</f>
        <v>18</v>
      </c>
      <c r="H46" s="172"/>
      <c r="I46" s="172"/>
    </row>
    <row r="47" s="210" customFormat="true" ht="15.75" hidden="false" customHeight="false" outlineLevel="0" collapsed="false">
      <c r="A47" s="180"/>
      <c r="B47" s="193" t="s">
        <v>112</v>
      </c>
      <c r="C47" s="193"/>
      <c r="D47" s="193"/>
      <c r="E47" s="193"/>
      <c r="F47" s="193"/>
      <c r="G47" s="194" t="n">
        <f aca="false">SUM(G46:G46)</f>
        <v>18</v>
      </c>
      <c r="H47" s="172"/>
      <c r="I47" s="172"/>
    </row>
    <row r="48" s="210" customFormat="true" ht="15" hidden="false" customHeight="false" outlineLevel="0" collapsed="false">
      <c r="A48" s="180"/>
      <c r="B48" s="218"/>
      <c r="C48" s="219"/>
      <c r="D48" s="219"/>
      <c r="E48" s="213"/>
      <c r="H48" s="172"/>
      <c r="I48" s="172"/>
    </row>
    <row r="49" s="210" customFormat="true" ht="15" hidden="false" customHeight="false" outlineLevel="0" collapsed="false">
      <c r="A49" s="182" t="s">
        <v>25</v>
      </c>
      <c r="B49" s="195" t="str">
        <f aca="false">'Orçamento Sintético'!C14</f>
        <v>ART de execução da obra</v>
      </c>
      <c r="C49" s="177"/>
      <c r="D49" s="177"/>
      <c r="E49" s="177"/>
      <c r="H49" s="172"/>
      <c r="I49" s="172"/>
    </row>
    <row r="50" s="210" customFormat="true" ht="15.75" hidden="false" customHeight="false" outlineLevel="0" collapsed="false">
      <c r="A50" s="182"/>
      <c r="B50" s="195"/>
      <c r="C50" s="177"/>
      <c r="D50" s="177"/>
      <c r="E50" s="177"/>
      <c r="F50" s="209"/>
      <c r="G50" s="211"/>
      <c r="H50" s="172"/>
      <c r="I50" s="172"/>
    </row>
    <row r="51" s="210" customFormat="true" ht="15" hidden="false" customHeight="false" outlineLevel="0" collapsed="false">
      <c r="A51" s="180"/>
      <c r="B51" s="185" t="s">
        <v>91</v>
      </c>
      <c r="C51" s="186" t="s">
        <v>109</v>
      </c>
      <c r="D51" s="186" t="s">
        <v>94</v>
      </c>
      <c r="E51" s="187" t="s">
        <v>110</v>
      </c>
      <c r="F51" s="187" t="s">
        <v>93</v>
      </c>
      <c r="G51" s="188" t="s">
        <v>94</v>
      </c>
      <c r="H51" s="172"/>
      <c r="I51" s="172"/>
    </row>
    <row r="52" s="210" customFormat="true" ht="15" hidden="false" customHeight="false" outlineLevel="0" collapsed="false">
      <c r="A52" s="180"/>
      <c r="B52" s="189" t="s">
        <v>114</v>
      </c>
      <c r="C52" s="199" t="n">
        <v>1</v>
      </c>
      <c r="D52" s="199"/>
      <c r="E52" s="212"/>
      <c r="F52" s="200"/>
      <c r="G52" s="192" t="n">
        <f aca="false">C52</f>
        <v>1</v>
      </c>
      <c r="H52" s="172"/>
      <c r="I52" s="172"/>
    </row>
    <row r="53" s="210" customFormat="true" ht="15.75" hidden="false" customHeight="false" outlineLevel="0" collapsed="false">
      <c r="A53" s="180"/>
      <c r="B53" s="193" t="s">
        <v>115</v>
      </c>
      <c r="C53" s="193"/>
      <c r="D53" s="193"/>
      <c r="E53" s="193"/>
      <c r="F53" s="193"/>
      <c r="G53" s="194" t="n">
        <f aca="false">SUM(G52:G52)</f>
        <v>1</v>
      </c>
      <c r="H53" s="172"/>
      <c r="I53" s="172"/>
    </row>
    <row r="54" s="210" customFormat="true" ht="15" hidden="false" customHeight="false" outlineLevel="0" collapsed="false">
      <c r="A54" s="180"/>
      <c r="B54" s="218"/>
      <c r="C54" s="219"/>
      <c r="D54" s="219"/>
      <c r="E54" s="213"/>
      <c r="H54" s="172"/>
      <c r="I54" s="172"/>
    </row>
    <row r="55" s="210" customFormat="true" ht="15" hidden="false" customHeight="false" outlineLevel="0" collapsed="false">
      <c r="A55" s="182" t="s">
        <v>28</v>
      </c>
      <c r="B55" s="195" t="str">
        <f aca="false">'Composições '!C400</f>
        <v>Isolamento de obra com tela plastica com malha de 5mm e estrutura de madeira pontaleteada</v>
      </c>
      <c r="C55" s="177"/>
      <c r="D55" s="177"/>
      <c r="E55" s="177"/>
      <c r="H55" s="172"/>
      <c r="I55" s="172"/>
    </row>
    <row r="56" s="210" customFormat="true" ht="15.75" hidden="false" customHeight="false" outlineLevel="0" collapsed="false">
      <c r="A56" s="182"/>
      <c r="B56" s="195"/>
      <c r="C56" s="177"/>
      <c r="D56" s="177"/>
      <c r="E56" s="177"/>
      <c r="F56" s="209"/>
      <c r="G56" s="211"/>
      <c r="H56" s="172"/>
      <c r="I56" s="172"/>
    </row>
    <row r="57" s="210" customFormat="true" ht="15" hidden="false" customHeight="false" outlineLevel="0" collapsed="false">
      <c r="A57" s="180"/>
      <c r="B57" s="185" t="s">
        <v>91</v>
      </c>
      <c r="C57" s="186" t="s">
        <v>109</v>
      </c>
      <c r="D57" s="186" t="s">
        <v>94</v>
      </c>
      <c r="E57" s="187" t="s">
        <v>110</v>
      </c>
      <c r="F57" s="187" t="s">
        <v>93</v>
      </c>
      <c r="G57" s="188" t="s">
        <v>96</v>
      </c>
      <c r="H57" s="172"/>
      <c r="I57" s="172"/>
    </row>
    <row r="58" s="210" customFormat="true" ht="15" hidden="false" customHeight="false" outlineLevel="0" collapsed="false">
      <c r="A58" s="180"/>
      <c r="B58" s="189" t="s">
        <v>116</v>
      </c>
      <c r="C58" s="199" t="n">
        <v>1</v>
      </c>
      <c r="D58" s="199" t="n">
        <f aca="false">4.6+0.95+5.47+2.1+2.1+1.93+1.5+4.5+2.45+2.05+1.3+2.46+3.57+2.15+1.6+2+3.57</f>
        <v>44.3</v>
      </c>
      <c r="E58" s="212"/>
      <c r="F58" s="200" t="n">
        <v>4.5</v>
      </c>
      <c r="G58" s="192" t="n">
        <f aca="false">C58*D58*F58</f>
        <v>199.35</v>
      </c>
      <c r="H58" s="172"/>
      <c r="I58" s="172"/>
    </row>
    <row r="59" s="210" customFormat="true" ht="15.75" hidden="false" customHeight="false" outlineLevel="0" collapsed="false">
      <c r="A59" s="180"/>
      <c r="B59" s="193" t="s">
        <v>112</v>
      </c>
      <c r="C59" s="193"/>
      <c r="D59" s="193"/>
      <c r="E59" s="193"/>
      <c r="F59" s="193"/>
      <c r="G59" s="194" t="n">
        <f aca="false">SUM(G58:G58)</f>
        <v>199.35</v>
      </c>
      <c r="H59" s="172"/>
      <c r="I59" s="172"/>
    </row>
    <row r="60" s="210" customFormat="true" ht="15" hidden="false" customHeight="false" outlineLevel="0" collapsed="false">
      <c r="A60" s="180"/>
      <c r="B60" s="218"/>
      <c r="C60" s="219"/>
      <c r="D60" s="219"/>
      <c r="E60" s="213"/>
      <c r="H60" s="172"/>
      <c r="I60" s="172"/>
    </row>
    <row r="61" s="210" customFormat="true" ht="15" hidden="false" customHeight="false" outlineLevel="0" collapsed="false">
      <c r="A61" s="182" t="s">
        <v>29</v>
      </c>
      <c r="B61" s="220" t="str">
        <f aca="false">'Composições '!C382</f>
        <v>Tela para proteção em polietileno</v>
      </c>
      <c r="C61" s="220"/>
      <c r="D61" s="220"/>
      <c r="E61" s="220"/>
      <c r="F61" s="220"/>
      <c r="G61" s="220"/>
      <c r="H61" s="172"/>
      <c r="I61" s="172"/>
    </row>
    <row r="62" s="210" customFormat="true" ht="15.75" hidden="false" customHeight="false" outlineLevel="0" collapsed="false">
      <c r="A62" s="182"/>
      <c r="B62" s="221"/>
      <c r="C62" s="222"/>
      <c r="D62" s="222"/>
      <c r="E62" s="209"/>
      <c r="F62" s="209"/>
      <c r="G62" s="211"/>
      <c r="H62" s="172"/>
      <c r="I62" s="172"/>
    </row>
    <row r="63" s="210" customFormat="true" ht="15" hidden="false" customHeight="false" outlineLevel="0" collapsed="false">
      <c r="A63" s="180"/>
      <c r="B63" s="185" t="s">
        <v>91</v>
      </c>
      <c r="C63" s="186" t="s">
        <v>109</v>
      </c>
      <c r="D63" s="186" t="s">
        <v>94</v>
      </c>
      <c r="E63" s="187" t="s">
        <v>110</v>
      </c>
      <c r="F63" s="187" t="s">
        <v>93</v>
      </c>
      <c r="G63" s="188" t="s">
        <v>96</v>
      </c>
      <c r="H63" s="172"/>
      <c r="I63" s="172"/>
    </row>
    <row r="64" s="210" customFormat="true" ht="15" hidden="false" customHeight="false" outlineLevel="0" collapsed="false">
      <c r="A64" s="180"/>
      <c r="B64" s="189" t="s">
        <v>111</v>
      </c>
      <c r="C64" s="199"/>
      <c r="D64" s="199" t="n">
        <f aca="false">(11.35+17.5)*2</f>
        <v>57.7</v>
      </c>
      <c r="E64" s="200"/>
      <c r="F64" s="200" t="n">
        <v>4.5</v>
      </c>
      <c r="G64" s="192" t="n">
        <f aca="false">D64*F64</f>
        <v>259.65</v>
      </c>
      <c r="H64" s="172"/>
      <c r="I64" s="172"/>
    </row>
    <row r="65" s="210" customFormat="true" ht="15" hidden="false" customHeight="false" outlineLevel="0" collapsed="false">
      <c r="A65" s="180"/>
      <c r="B65" s="202" t="s">
        <v>117</v>
      </c>
      <c r="C65" s="203"/>
      <c r="D65" s="203" t="n">
        <f aca="false">(1.5+1.5)*2</f>
        <v>6</v>
      </c>
      <c r="E65" s="191"/>
      <c r="F65" s="200" t="n">
        <v>4.5</v>
      </c>
      <c r="G65" s="192" t="n">
        <f aca="false">D65*F65</f>
        <v>27</v>
      </c>
      <c r="H65" s="172"/>
      <c r="I65" s="172"/>
    </row>
    <row r="66" s="210" customFormat="true" ht="15" hidden="false" customHeight="false" outlineLevel="0" collapsed="false">
      <c r="A66" s="180"/>
      <c r="B66" s="202" t="s">
        <v>113</v>
      </c>
      <c r="C66" s="203"/>
      <c r="D66" s="203" t="n">
        <f aca="false">(6.5+2.9)*2</f>
        <v>18.8</v>
      </c>
      <c r="E66" s="191"/>
      <c r="F66" s="200" t="n">
        <v>4.5</v>
      </c>
      <c r="G66" s="192" t="n">
        <f aca="false">D66*F66</f>
        <v>84.6</v>
      </c>
      <c r="H66" s="172"/>
      <c r="I66" s="172"/>
    </row>
    <row r="67" s="210" customFormat="true" ht="15.75" hidden="false" customHeight="false" outlineLevel="0" collapsed="false">
      <c r="A67" s="180"/>
      <c r="B67" s="193" t="s">
        <v>118</v>
      </c>
      <c r="C67" s="193"/>
      <c r="D67" s="193"/>
      <c r="E67" s="193"/>
      <c r="F67" s="193"/>
      <c r="G67" s="194" t="n">
        <f aca="false">SUM(G64:G66)</f>
        <v>371.25</v>
      </c>
      <c r="H67" s="172"/>
      <c r="I67" s="172"/>
    </row>
    <row r="68" s="210" customFormat="true" ht="15" hidden="false" customHeight="false" outlineLevel="0" collapsed="false">
      <c r="A68" s="175"/>
      <c r="B68" s="223"/>
      <c r="C68" s="224"/>
      <c r="D68" s="224"/>
      <c r="E68" s="224"/>
      <c r="H68" s="172"/>
      <c r="I68" s="172"/>
    </row>
    <row r="69" s="210" customFormat="true" ht="15" hidden="false" customHeight="false" outlineLevel="0" collapsed="false">
      <c r="A69" s="182" t="s">
        <v>30</v>
      </c>
      <c r="B69" s="220" t="str">
        <f aca="false">'Composições '!C392</f>
        <v>Lona plástica preta - Fornecimento e instalação</v>
      </c>
      <c r="C69" s="220"/>
      <c r="D69" s="220"/>
      <c r="E69" s="220"/>
      <c r="F69" s="220"/>
      <c r="G69" s="220"/>
      <c r="H69" s="172"/>
      <c r="I69" s="172"/>
    </row>
    <row r="70" s="210" customFormat="true" ht="15.75" hidden="false" customHeight="false" outlineLevel="0" collapsed="false">
      <c r="A70" s="182"/>
      <c r="B70" s="221"/>
      <c r="C70" s="222"/>
      <c r="D70" s="222"/>
      <c r="E70" s="209"/>
      <c r="F70" s="209"/>
      <c r="G70" s="211"/>
      <c r="H70" s="172"/>
      <c r="I70" s="172"/>
    </row>
    <row r="71" s="210" customFormat="true" ht="15" hidden="false" customHeight="false" outlineLevel="0" collapsed="false">
      <c r="A71" s="180"/>
      <c r="B71" s="185" t="s">
        <v>91</v>
      </c>
      <c r="C71" s="186" t="s">
        <v>109</v>
      </c>
      <c r="D71" s="186" t="s">
        <v>94</v>
      </c>
      <c r="E71" s="187" t="s">
        <v>110</v>
      </c>
      <c r="F71" s="187" t="s">
        <v>93</v>
      </c>
      <c r="G71" s="188" t="s">
        <v>96</v>
      </c>
      <c r="H71" s="172"/>
      <c r="I71" s="172"/>
    </row>
    <row r="72" s="210" customFormat="true" ht="15" hidden="false" customHeight="false" outlineLevel="0" collapsed="false">
      <c r="A72" s="180"/>
      <c r="B72" s="189" t="s">
        <v>119</v>
      </c>
      <c r="C72" s="199"/>
      <c r="D72" s="199" t="n">
        <f aca="false">(11.35+17.5)*2</f>
        <v>57.7</v>
      </c>
      <c r="E72" s="200"/>
      <c r="F72" s="200" t="n">
        <v>4.5</v>
      </c>
      <c r="G72" s="192" t="n">
        <f aca="false">D72*F72</f>
        <v>259.65</v>
      </c>
      <c r="H72" s="172"/>
      <c r="I72" s="172"/>
    </row>
    <row r="73" s="210" customFormat="true" ht="15" hidden="false" customHeight="false" outlineLevel="0" collapsed="false">
      <c r="A73" s="180"/>
      <c r="B73" s="202" t="s">
        <v>120</v>
      </c>
      <c r="C73" s="203"/>
      <c r="D73" s="203" t="n">
        <f aca="false">(1.5+1.5)*2</f>
        <v>6</v>
      </c>
      <c r="E73" s="191"/>
      <c r="F73" s="200" t="n">
        <v>4.5</v>
      </c>
      <c r="G73" s="192" t="n">
        <f aca="false">D73*F73</f>
        <v>27</v>
      </c>
      <c r="H73" s="172"/>
      <c r="I73" s="172"/>
    </row>
    <row r="74" s="210" customFormat="true" ht="15" hidden="false" customHeight="false" outlineLevel="0" collapsed="false">
      <c r="A74" s="180"/>
      <c r="B74" s="202" t="s">
        <v>121</v>
      </c>
      <c r="C74" s="203"/>
      <c r="D74" s="203" t="n">
        <f aca="false">(6.5+2.9)*2</f>
        <v>18.8</v>
      </c>
      <c r="E74" s="191"/>
      <c r="F74" s="200" t="n">
        <v>4.5</v>
      </c>
      <c r="G74" s="192" t="n">
        <f aca="false">D74*F74</f>
        <v>84.6</v>
      </c>
      <c r="H74" s="172"/>
      <c r="I74" s="172"/>
    </row>
    <row r="75" s="210" customFormat="true" ht="15" hidden="false" customHeight="false" outlineLevel="0" collapsed="false">
      <c r="A75" s="180"/>
      <c r="B75" s="189" t="s">
        <v>122</v>
      </c>
      <c r="C75" s="199"/>
      <c r="D75" s="203" t="n">
        <v>11.35</v>
      </c>
      <c r="E75" s="191" t="n">
        <v>17.5</v>
      </c>
      <c r="F75" s="200"/>
      <c r="G75" s="192" t="n">
        <f aca="false">D75*E75</f>
        <v>198.625</v>
      </c>
      <c r="H75" s="172"/>
      <c r="I75" s="172"/>
    </row>
    <row r="76" s="210" customFormat="true" ht="15" hidden="false" customHeight="false" outlineLevel="0" collapsed="false">
      <c r="A76" s="180"/>
      <c r="B76" s="202" t="s">
        <v>123</v>
      </c>
      <c r="C76" s="203"/>
      <c r="D76" s="203" t="n">
        <v>1.5</v>
      </c>
      <c r="E76" s="191" t="n">
        <v>1.5</v>
      </c>
      <c r="F76" s="200"/>
      <c r="G76" s="192" t="n">
        <f aca="false">D76*E76</f>
        <v>2.25</v>
      </c>
      <c r="H76" s="172"/>
      <c r="I76" s="172"/>
    </row>
    <row r="77" s="210" customFormat="true" ht="15" hidden="false" customHeight="false" outlineLevel="0" collapsed="false">
      <c r="A77" s="180"/>
      <c r="B77" s="202" t="s">
        <v>124</v>
      </c>
      <c r="C77" s="203"/>
      <c r="D77" s="203" t="n">
        <v>6.5</v>
      </c>
      <c r="E77" s="191" t="n">
        <v>2.9</v>
      </c>
      <c r="F77" s="200"/>
      <c r="G77" s="192" t="n">
        <f aca="false">D77*E77</f>
        <v>18.85</v>
      </c>
      <c r="H77" s="172"/>
      <c r="I77" s="172"/>
    </row>
    <row r="78" s="210" customFormat="true" ht="15.75" hidden="false" customHeight="false" outlineLevel="0" collapsed="false">
      <c r="A78" s="180"/>
      <c r="B78" s="193" t="s">
        <v>118</v>
      </c>
      <c r="C78" s="193"/>
      <c r="D78" s="193"/>
      <c r="E78" s="193"/>
      <c r="F78" s="193"/>
      <c r="G78" s="194" t="n">
        <f aca="false">SUM(G72:G77)</f>
        <v>590.975</v>
      </c>
      <c r="H78" s="172"/>
      <c r="I78" s="172"/>
    </row>
    <row r="79" s="210" customFormat="true" ht="15" hidden="false" customHeight="false" outlineLevel="0" collapsed="false">
      <c r="A79" s="175"/>
      <c r="B79" s="223"/>
      <c r="C79" s="224"/>
      <c r="D79" s="224"/>
      <c r="E79" s="224"/>
      <c r="H79" s="172"/>
      <c r="I79" s="172"/>
    </row>
    <row r="80" s="210" customFormat="true" ht="15" hidden="false" customHeight="false" outlineLevel="0" collapsed="false">
      <c r="A80" s="182" t="s">
        <v>31</v>
      </c>
      <c r="B80" s="220" t="str">
        <f aca="false">'Composições '!C427</f>
        <v>Proteção de piso com aplicação de chapa de madeira</v>
      </c>
      <c r="C80" s="220"/>
      <c r="D80" s="220"/>
      <c r="E80" s="220"/>
      <c r="F80" s="220"/>
      <c r="G80" s="220"/>
      <c r="H80" s="172"/>
      <c r="I80" s="172"/>
    </row>
    <row r="81" s="210" customFormat="true" ht="15.75" hidden="false" customHeight="false" outlineLevel="0" collapsed="false">
      <c r="A81" s="182"/>
      <c r="B81" s="221"/>
      <c r="C81" s="222"/>
      <c r="D81" s="222"/>
      <c r="E81" s="209"/>
      <c r="F81" s="209"/>
      <c r="G81" s="211"/>
      <c r="H81" s="172"/>
      <c r="I81" s="172"/>
    </row>
    <row r="82" s="210" customFormat="true" ht="15" hidden="false" customHeight="false" outlineLevel="0" collapsed="false">
      <c r="A82" s="180"/>
      <c r="B82" s="185" t="s">
        <v>91</v>
      </c>
      <c r="C82" s="186" t="s">
        <v>109</v>
      </c>
      <c r="D82" s="186" t="s">
        <v>94</v>
      </c>
      <c r="E82" s="187" t="s">
        <v>110</v>
      </c>
      <c r="F82" s="187" t="s">
        <v>93</v>
      </c>
      <c r="G82" s="188" t="s">
        <v>96</v>
      </c>
      <c r="H82" s="172"/>
      <c r="I82" s="172"/>
    </row>
    <row r="83" s="210" customFormat="true" ht="15" hidden="false" customHeight="false" outlineLevel="0" collapsed="false">
      <c r="A83" s="180"/>
      <c r="B83" s="189" t="s">
        <v>111</v>
      </c>
      <c r="C83" s="199"/>
      <c r="D83" s="203" t="n">
        <v>11.35</v>
      </c>
      <c r="E83" s="191" t="n">
        <v>17.5</v>
      </c>
      <c r="F83" s="200"/>
      <c r="G83" s="192" t="n">
        <f aca="false">D83*E83</f>
        <v>198.625</v>
      </c>
      <c r="H83" s="172"/>
      <c r="I83" s="172"/>
    </row>
    <row r="84" s="210" customFormat="true" ht="15" hidden="false" customHeight="false" outlineLevel="0" collapsed="false">
      <c r="A84" s="180"/>
      <c r="B84" s="202" t="s">
        <v>117</v>
      </c>
      <c r="C84" s="203"/>
      <c r="D84" s="203" t="n">
        <v>1.5</v>
      </c>
      <c r="E84" s="191" t="n">
        <v>1.5</v>
      </c>
      <c r="F84" s="200"/>
      <c r="G84" s="192" t="n">
        <f aca="false">D84*E84</f>
        <v>2.25</v>
      </c>
      <c r="H84" s="172"/>
      <c r="I84" s="172"/>
    </row>
    <row r="85" s="210" customFormat="true" ht="15" hidden="false" customHeight="false" outlineLevel="0" collapsed="false">
      <c r="A85" s="180"/>
      <c r="B85" s="202" t="s">
        <v>113</v>
      </c>
      <c r="C85" s="203"/>
      <c r="D85" s="203" t="n">
        <v>6.5</v>
      </c>
      <c r="E85" s="191" t="n">
        <v>2.9</v>
      </c>
      <c r="F85" s="200"/>
      <c r="G85" s="192" t="n">
        <f aca="false">D85*E85</f>
        <v>18.85</v>
      </c>
      <c r="H85" s="172"/>
      <c r="I85" s="172"/>
    </row>
    <row r="86" s="210" customFormat="true" ht="15.75" hidden="false" customHeight="false" outlineLevel="0" collapsed="false">
      <c r="A86" s="180"/>
      <c r="B86" s="193" t="s">
        <v>118</v>
      </c>
      <c r="C86" s="193"/>
      <c r="D86" s="193"/>
      <c r="E86" s="193"/>
      <c r="F86" s="193"/>
      <c r="G86" s="194" t="n">
        <f aca="false">SUM(G83:G85)</f>
        <v>219.725</v>
      </c>
      <c r="H86" s="172"/>
      <c r="I86" s="172"/>
    </row>
    <row r="87" s="210" customFormat="true" ht="15" hidden="false" customHeight="false" outlineLevel="0" collapsed="false">
      <c r="A87" s="180"/>
      <c r="B87" s="218"/>
      <c r="C87" s="219"/>
      <c r="D87" s="219"/>
      <c r="E87" s="213"/>
      <c r="H87" s="172"/>
      <c r="I87" s="172"/>
    </row>
    <row r="88" s="210" customFormat="true" ht="15" hidden="false" customHeight="false" outlineLevel="0" collapsed="false">
      <c r="A88" s="180"/>
      <c r="B88" s="218"/>
      <c r="C88" s="219"/>
      <c r="D88" s="219"/>
      <c r="E88" s="219"/>
      <c r="H88" s="172"/>
      <c r="I88" s="172"/>
    </row>
    <row r="89" s="210" customFormat="true" ht="15" hidden="false" customHeight="false" outlineLevel="0" collapsed="false">
      <c r="A89" s="178" t="n">
        <v>2</v>
      </c>
      <c r="B89" s="179" t="s">
        <v>125</v>
      </c>
      <c r="C89" s="224"/>
      <c r="D89" s="224"/>
      <c r="E89" s="224"/>
      <c r="H89" s="172"/>
      <c r="I89" s="172"/>
    </row>
    <row r="90" s="210" customFormat="true" ht="15" hidden="false" customHeight="false" outlineLevel="0" collapsed="false">
      <c r="A90" s="175"/>
      <c r="B90" s="223"/>
      <c r="C90" s="224"/>
      <c r="D90" s="224"/>
      <c r="E90" s="224"/>
      <c r="H90" s="172"/>
      <c r="I90" s="172"/>
    </row>
    <row r="91" s="210" customFormat="true" ht="15" hidden="false" customHeight="false" outlineLevel="0" collapsed="false">
      <c r="A91" s="182" t="s">
        <v>33</v>
      </c>
      <c r="B91" s="220" t="str">
        <f aca="false">'Composições '!C53</f>
        <v>Escoramento metálico para lajes e vigas, c/ escoras tubulares tipo "b" (h=3,30 a 4,50 m), com montagem e desmontagem</v>
      </c>
      <c r="C91" s="220"/>
      <c r="D91" s="220"/>
      <c r="E91" s="220"/>
      <c r="F91" s="220"/>
      <c r="G91" s="220"/>
      <c r="H91" s="220"/>
    </row>
    <row r="92" s="210" customFormat="true" ht="15.75" hidden="false" customHeight="false" outlineLevel="0" collapsed="false">
      <c r="A92" s="182"/>
      <c r="B92" s="221"/>
      <c r="C92" s="222"/>
      <c r="D92" s="222"/>
      <c r="E92" s="209"/>
      <c r="F92" s="209"/>
      <c r="G92" s="211"/>
      <c r="H92" s="211"/>
    </row>
    <row r="93" s="210" customFormat="true" ht="15" hidden="false" customHeight="false" outlineLevel="0" collapsed="false">
      <c r="A93" s="180"/>
      <c r="B93" s="185" t="s">
        <v>91</v>
      </c>
      <c r="C93" s="186" t="s">
        <v>109</v>
      </c>
      <c r="D93" s="186" t="s">
        <v>94</v>
      </c>
      <c r="E93" s="187" t="s">
        <v>110</v>
      </c>
      <c r="F93" s="187" t="s">
        <v>93</v>
      </c>
      <c r="G93" s="188" t="s">
        <v>96</v>
      </c>
      <c r="H93" s="225"/>
    </row>
    <row r="94" s="210" customFormat="true" ht="15" hidden="false" customHeight="false" outlineLevel="0" collapsed="false">
      <c r="A94" s="180"/>
      <c r="B94" s="189" t="s">
        <v>126</v>
      </c>
      <c r="C94" s="199" t="n">
        <v>1</v>
      </c>
      <c r="D94" s="199" t="n">
        <v>5.48</v>
      </c>
      <c r="E94" s="200" t="n">
        <v>5.73</v>
      </c>
      <c r="F94" s="200"/>
      <c r="G94" s="192" t="n">
        <f aca="false">C94*D94*E94</f>
        <v>31.4004</v>
      </c>
      <c r="H94" s="226"/>
    </row>
    <row r="95" s="210" customFormat="true" ht="15" hidden="false" customHeight="false" outlineLevel="0" collapsed="false">
      <c r="A95" s="180"/>
      <c r="B95" s="189" t="s">
        <v>127</v>
      </c>
      <c r="C95" s="199" t="n">
        <v>1</v>
      </c>
      <c r="D95" s="199" t="n">
        <v>5.46</v>
      </c>
      <c r="E95" s="200" t="n">
        <v>5.73</v>
      </c>
      <c r="F95" s="200"/>
      <c r="G95" s="192" t="n">
        <f aca="false">C95*D95*E95</f>
        <v>31.2858</v>
      </c>
      <c r="H95" s="226"/>
    </row>
    <row r="96" s="210" customFormat="true" ht="15" hidden="false" customHeight="false" outlineLevel="0" collapsed="false">
      <c r="A96" s="180"/>
      <c r="B96" s="189" t="s">
        <v>128</v>
      </c>
      <c r="C96" s="199" t="n">
        <v>1</v>
      </c>
      <c r="D96" s="199" t="n">
        <v>5.86</v>
      </c>
      <c r="E96" s="200" t="n">
        <v>5.73</v>
      </c>
      <c r="F96" s="200"/>
      <c r="G96" s="192" t="n">
        <f aca="false">C96*D96*E96</f>
        <v>33.5778</v>
      </c>
      <c r="H96" s="226"/>
    </row>
    <row r="97" s="210" customFormat="true" ht="15" hidden="false" customHeight="false" outlineLevel="0" collapsed="false">
      <c r="A97" s="180"/>
      <c r="B97" s="189" t="s">
        <v>129</v>
      </c>
      <c r="C97" s="199" t="n">
        <v>1</v>
      </c>
      <c r="D97" s="199" t="n">
        <v>5.48</v>
      </c>
      <c r="E97" s="200" t="n">
        <v>5.48</v>
      </c>
      <c r="F97" s="200"/>
      <c r="G97" s="192" t="n">
        <f aca="false">C97*D97*E97</f>
        <v>30.0304</v>
      </c>
      <c r="H97" s="226"/>
    </row>
    <row r="98" s="210" customFormat="true" ht="15" hidden="false" customHeight="false" outlineLevel="0" collapsed="false">
      <c r="A98" s="180"/>
      <c r="B98" s="189" t="s">
        <v>130</v>
      </c>
      <c r="C98" s="199" t="n">
        <v>1</v>
      </c>
      <c r="D98" s="199" t="n">
        <v>5.46</v>
      </c>
      <c r="E98" s="200" t="n">
        <v>5.48</v>
      </c>
      <c r="F98" s="191"/>
      <c r="G98" s="192" t="n">
        <f aca="false">C98*D98*E98</f>
        <v>29.9208</v>
      </c>
      <c r="H98" s="226"/>
    </row>
    <row r="99" s="210" customFormat="true" ht="15" hidden="false" customHeight="false" outlineLevel="0" collapsed="false">
      <c r="A99" s="180"/>
      <c r="B99" s="189" t="s">
        <v>131</v>
      </c>
      <c r="C99" s="199" t="n">
        <v>1</v>
      </c>
      <c r="D99" s="199" t="n">
        <v>5.86</v>
      </c>
      <c r="E99" s="200" t="n">
        <v>5.48</v>
      </c>
      <c r="F99" s="191"/>
      <c r="G99" s="192" t="n">
        <f aca="false">C99*D99*E99</f>
        <v>32.1128</v>
      </c>
      <c r="H99" s="226"/>
    </row>
    <row r="100" s="210" customFormat="true" ht="15" hidden="false" customHeight="false" outlineLevel="0" collapsed="false">
      <c r="A100" s="180"/>
      <c r="B100" s="202" t="s">
        <v>132</v>
      </c>
      <c r="C100" s="203" t="n">
        <v>1</v>
      </c>
      <c r="D100" s="203" t="n">
        <v>6.5</v>
      </c>
      <c r="E100" s="191" t="n">
        <v>2.9</v>
      </c>
      <c r="F100" s="191"/>
      <c r="G100" s="192" t="n">
        <f aca="false">C100*D100*E100</f>
        <v>18.85</v>
      </c>
      <c r="H100" s="226"/>
    </row>
    <row r="101" s="210" customFormat="true" ht="15" hidden="false" customHeight="false" outlineLevel="0" collapsed="false">
      <c r="A101" s="180"/>
      <c r="B101" s="202" t="s">
        <v>133</v>
      </c>
      <c r="C101" s="203" t="n">
        <v>1</v>
      </c>
      <c r="D101" s="203" t="n">
        <v>1.5</v>
      </c>
      <c r="E101" s="191" t="n">
        <v>1.5</v>
      </c>
      <c r="F101" s="205"/>
      <c r="G101" s="192" t="n">
        <f aca="false">C101*D101*E101</f>
        <v>2.25</v>
      </c>
      <c r="H101" s="172"/>
      <c r="I101" s="172"/>
    </row>
    <row r="102" s="210" customFormat="true" ht="15" hidden="false" customHeight="false" outlineLevel="0" collapsed="false">
      <c r="A102" s="180"/>
      <c r="B102" s="227" t="s">
        <v>134</v>
      </c>
      <c r="C102" s="203" t="n">
        <v>1</v>
      </c>
      <c r="D102" s="203" t="n">
        <v>5.43</v>
      </c>
      <c r="E102" s="191" t="n">
        <v>0.15</v>
      </c>
      <c r="F102" s="208"/>
      <c r="G102" s="192" t="n">
        <f aca="false">C102*D102*E102</f>
        <v>0.8145</v>
      </c>
      <c r="H102" s="172"/>
      <c r="I102" s="172"/>
    </row>
    <row r="103" s="210" customFormat="true" ht="15" hidden="false" customHeight="false" outlineLevel="0" collapsed="false">
      <c r="A103" s="180"/>
      <c r="B103" s="227" t="s">
        <v>135</v>
      </c>
      <c r="C103" s="203" t="n">
        <v>1</v>
      </c>
      <c r="D103" s="203" t="n">
        <v>5.28</v>
      </c>
      <c r="E103" s="191" t="n">
        <v>0.15</v>
      </c>
      <c r="F103" s="208"/>
      <c r="G103" s="192" t="n">
        <f aca="false">C103*D103*E103</f>
        <v>0.792</v>
      </c>
      <c r="H103" s="172"/>
      <c r="I103" s="172"/>
    </row>
    <row r="104" s="210" customFormat="true" ht="15" hidden="false" customHeight="false" outlineLevel="0" collapsed="false">
      <c r="A104" s="180"/>
      <c r="B104" s="227" t="s">
        <v>136</v>
      </c>
      <c r="C104" s="203" t="n">
        <v>1</v>
      </c>
      <c r="D104" s="203" t="n">
        <f aca="false">5.46+5.48+5.66</f>
        <v>16.6</v>
      </c>
      <c r="E104" s="191" t="n">
        <v>0.15</v>
      </c>
      <c r="F104" s="208"/>
      <c r="G104" s="192" t="n">
        <f aca="false">C104*D104*E104</f>
        <v>2.49</v>
      </c>
      <c r="H104" s="172"/>
      <c r="I104" s="172"/>
    </row>
    <row r="105" s="210" customFormat="true" ht="15" hidden="false" customHeight="false" outlineLevel="0" collapsed="false">
      <c r="A105" s="180"/>
      <c r="B105" s="227" t="s">
        <v>137</v>
      </c>
      <c r="C105" s="203" t="n">
        <v>1</v>
      </c>
      <c r="D105" s="203" t="n">
        <v>11.05</v>
      </c>
      <c r="E105" s="191" t="n">
        <v>0.35</v>
      </c>
      <c r="F105" s="208"/>
      <c r="G105" s="192" t="n">
        <f aca="false">C105*D105*E105</f>
        <v>3.8675</v>
      </c>
      <c r="H105" s="172"/>
      <c r="I105" s="172"/>
    </row>
    <row r="106" s="210" customFormat="true" ht="15" hidden="false" customHeight="false" outlineLevel="0" collapsed="false">
      <c r="A106" s="180"/>
      <c r="B106" s="227" t="s">
        <v>138</v>
      </c>
      <c r="C106" s="203" t="n">
        <v>1</v>
      </c>
      <c r="D106" s="203" t="n">
        <v>11.05</v>
      </c>
      <c r="E106" s="191" t="n">
        <v>0.35</v>
      </c>
      <c r="F106" s="191"/>
      <c r="G106" s="192" t="n">
        <f aca="false">C106*D106*E106</f>
        <v>3.8675</v>
      </c>
      <c r="H106" s="172"/>
      <c r="I106" s="172"/>
    </row>
    <row r="107" s="210" customFormat="true" ht="15.75" hidden="false" customHeight="false" outlineLevel="0" collapsed="false">
      <c r="A107" s="180"/>
      <c r="B107" s="193" t="s">
        <v>118</v>
      </c>
      <c r="C107" s="193"/>
      <c r="D107" s="193"/>
      <c r="E107" s="193"/>
      <c r="F107" s="193"/>
      <c r="G107" s="194" t="n">
        <f aca="false">SUM(G94:G106)</f>
        <v>221.2595</v>
      </c>
      <c r="H107" s="172"/>
      <c r="I107" s="172"/>
    </row>
    <row r="108" s="210" customFormat="true" ht="15" hidden="false" customHeight="false" outlineLevel="0" collapsed="false">
      <c r="A108" s="180"/>
      <c r="B108" s="165"/>
      <c r="C108" s="172"/>
      <c r="D108" s="172"/>
      <c r="E108" s="172"/>
      <c r="F108" s="172"/>
      <c r="G108" s="172"/>
      <c r="H108" s="172"/>
      <c r="I108" s="172"/>
    </row>
    <row r="109" s="210" customFormat="true" ht="15" hidden="false" customHeight="true" outlineLevel="0" collapsed="false">
      <c r="A109" s="182" t="s">
        <v>34</v>
      </c>
      <c r="B109" s="195" t="str">
        <f aca="false">'Composições '!C62</f>
        <v>Cimbramento / escoramento tubular desmontável, para ponte ou viaduto, edificação civil e industrial, inclusas montagem e desmontagem</v>
      </c>
      <c r="C109" s="172"/>
      <c r="D109" s="172"/>
      <c r="E109" s="172"/>
      <c r="F109" s="172"/>
      <c r="G109" s="172"/>
      <c r="H109" s="172"/>
      <c r="I109" s="172"/>
    </row>
    <row r="110" s="210" customFormat="true" ht="15.75" hidden="false" customHeight="false" outlineLevel="0" collapsed="false">
      <c r="A110" s="182"/>
      <c r="B110" s="165"/>
      <c r="C110" s="172"/>
      <c r="D110" s="172"/>
      <c r="E110" s="172"/>
      <c r="F110" s="172"/>
      <c r="G110" s="172"/>
      <c r="H110" s="172"/>
      <c r="I110" s="172"/>
    </row>
    <row r="111" s="210" customFormat="true" ht="15" hidden="false" customHeight="false" outlineLevel="0" collapsed="false">
      <c r="A111" s="180"/>
      <c r="B111" s="185" t="s">
        <v>91</v>
      </c>
      <c r="C111" s="186" t="s">
        <v>109</v>
      </c>
      <c r="D111" s="186" t="s">
        <v>94</v>
      </c>
      <c r="E111" s="187" t="s">
        <v>110</v>
      </c>
      <c r="F111" s="187" t="s">
        <v>93</v>
      </c>
      <c r="G111" s="188" t="s">
        <v>139</v>
      </c>
      <c r="H111" s="172"/>
      <c r="I111" s="172"/>
    </row>
    <row r="112" s="210" customFormat="true" ht="15" hidden="false" customHeight="false" outlineLevel="0" collapsed="false">
      <c r="A112" s="180"/>
      <c r="B112" s="189" t="s">
        <v>113</v>
      </c>
      <c r="C112" s="203" t="n">
        <v>1</v>
      </c>
      <c r="D112" s="203" t="n">
        <v>3.35</v>
      </c>
      <c r="E112" s="191" t="n">
        <v>2.9</v>
      </c>
      <c r="F112" s="191" t="n">
        <f aca="false">(2.5+2.75)/2</f>
        <v>2.625</v>
      </c>
      <c r="G112" s="217" t="n">
        <f aca="false">C112*D112*E112*F112</f>
        <v>25.501875</v>
      </c>
      <c r="H112" s="172"/>
      <c r="I112" s="172"/>
    </row>
    <row r="113" s="210" customFormat="true" ht="15.75" hidden="false" customHeight="false" outlineLevel="0" collapsed="false">
      <c r="A113" s="180"/>
      <c r="B113" s="193" t="s">
        <v>140</v>
      </c>
      <c r="C113" s="193"/>
      <c r="D113" s="193"/>
      <c r="E113" s="193"/>
      <c r="F113" s="193"/>
      <c r="G113" s="194" t="n">
        <f aca="false">SUM(G112:G112)</f>
        <v>25.501875</v>
      </c>
      <c r="H113" s="172"/>
      <c r="I113" s="172"/>
    </row>
    <row r="114" s="210" customFormat="true" ht="15" hidden="false" customHeight="false" outlineLevel="0" collapsed="false">
      <c r="A114" s="180"/>
      <c r="B114" s="165"/>
      <c r="C114" s="172"/>
      <c r="D114" s="172"/>
      <c r="E114" s="172"/>
      <c r="H114" s="172"/>
      <c r="I114" s="172"/>
    </row>
    <row r="115" s="210" customFormat="true" ht="15" hidden="false" customHeight="false" outlineLevel="0" collapsed="false">
      <c r="A115" s="182" t="s">
        <v>36</v>
      </c>
      <c r="B115" s="195" t="str">
        <f aca="false">'Composições '!C71</f>
        <v>Andaime metálico fachadeiro - locação mensal , montagem e desmontagem</v>
      </c>
      <c r="C115" s="172"/>
      <c r="D115" s="172"/>
      <c r="E115" s="172"/>
      <c r="G115" s="172"/>
      <c r="H115" s="172"/>
      <c r="I115" s="172"/>
    </row>
    <row r="116" s="210" customFormat="true" ht="15.75" hidden="false" customHeight="false" outlineLevel="0" collapsed="false">
      <c r="A116" s="182"/>
      <c r="B116" s="165"/>
      <c r="C116" s="172"/>
      <c r="D116" s="172"/>
      <c r="E116" s="172"/>
      <c r="F116" s="209"/>
      <c r="G116" s="172"/>
      <c r="H116" s="172"/>
      <c r="I116" s="172"/>
    </row>
    <row r="117" s="210" customFormat="true" ht="15" hidden="false" customHeight="false" outlineLevel="0" collapsed="false">
      <c r="A117" s="180"/>
      <c r="B117" s="185" t="s">
        <v>91</v>
      </c>
      <c r="C117" s="186" t="s">
        <v>109</v>
      </c>
      <c r="D117" s="186" t="s">
        <v>94</v>
      </c>
      <c r="E117" s="187" t="s">
        <v>110</v>
      </c>
      <c r="F117" s="187" t="s">
        <v>141</v>
      </c>
      <c r="G117" s="188" t="s">
        <v>142</v>
      </c>
      <c r="H117" s="172"/>
      <c r="I117" s="172"/>
    </row>
    <row r="118" s="210" customFormat="true" ht="15" hidden="false" customHeight="false" outlineLevel="0" collapsed="false">
      <c r="A118" s="180"/>
      <c r="B118" s="189" t="s">
        <v>113</v>
      </c>
      <c r="C118" s="199" t="n">
        <v>1</v>
      </c>
      <c r="D118" s="199" t="n">
        <v>2.9</v>
      </c>
      <c r="E118" s="212" t="n">
        <v>1.5</v>
      </c>
      <c r="F118" s="200" t="n">
        <v>1.5</v>
      </c>
      <c r="G118" s="192" t="n">
        <f aca="false">C118*D118*E118*F118</f>
        <v>6.525</v>
      </c>
      <c r="H118" s="226"/>
    </row>
    <row r="119" s="210" customFormat="true" ht="15" hidden="false" customHeight="false" outlineLevel="0" collapsed="false">
      <c r="A119" s="180"/>
      <c r="B119" s="189" t="s">
        <v>143</v>
      </c>
      <c r="C119" s="199" t="n">
        <v>1</v>
      </c>
      <c r="D119" s="199" t="n">
        <v>11.45</v>
      </c>
      <c r="E119" s="212" t="n">
        <v>1.5</v>
      </c>
      <c r="F119" s="200" t="n">
        <v>4.5</v>
      </c>
      <c r="G119" s="192" t="n">
        <f aca="false">C119*D119*(E119+(F119*2))</f>
        <v>120.225</v>
      </c>
      <c r="H119" s="226"/>
    </row>
    <row r="120" s="210" customFormat="true" ht="15.75" hidden="false" customHeight="false" outlineLevel="0" collapsed="false">
      <c r="A120" s="180"/>
      <c r="B120" s="193" t="s">
        <v>144</v>
      </c>
      <c r="C120" s="193"/>
      <c r="D120" s="193"/>
      <c r="E120" s="193"/>
      <c r="F120" s="193"/>
      <c r="G120" s="194" t="n">
        <f aca="false">SUM(G118:G119)</f>
        <v>126.75</v>
      </c>
      <c r="H120" s="172"/>
      <c r="I120" s="172"/>
    </row>
    <row r="121" s="210" customFormat="true" ht="15" hidden="false" customHeight="false" outlineLevel="0" collapsed="false">
      <c r="A121" s="180"/>
      <c r="B121" s="165"/>
      <c r="C121" s="172"/>
      <c r="D121" s="172"/>
      <c r="E121" s="172"/>
      <c r="F121" s="172"/>
      <c r="G121" s="172"/>
      <c r="H121" s="172"/>
      <c r="I121" s="172"/>
    </row>
    <row r="122" s="210" customFormat="true" ht="15" hidden="false" customHeight="false" outlineLevel="0" collapsed="false">
      <c r="A122" s="182" t="s">
        <v>38</v>
      </c>
      <c r="B122" s="195" t="str">
        <f aca="false">'Composições '!C80</f>
        <v>Preparo de substrato (superfície de concreto) por lixamento elétrico</v>
      </c>
      <c r="C122" s="172"/>
      <c r="D122" s="172"/>
      <c r="E122" s="172"/>
      <c r="F122" s="172"/>
      <c r="G122" s="172"/>
      <c r="H122" s="172"/>
      <c r="I122" s="172"/>
    </row>
    <row r="123" s="210" customFormat="true" ht="15.75" hidden="false" customHeight="false" outlineLevel="0" collapsed="false">
      <c r="A123" s="182"/>
      <c r="B123" s="165"/>
      <c r="C123" s="172"/>
      <c r="D123" s="172"/>
      <c r="E123" s="172"/>
      <c r="F123" s="209"/>
      <c r="G123" s="211"/>
      <c r="H123" s="172"/>
      <c r="I123" s="172"/>
    </row>
    <row r="124" s="210" customFormat="true" ht="15" hidden="false" customHeight="false" outlineLevel="0" collapsed="false">
      <c r="A124" s="180"/>
      <c r="B124" s="185" t="s">
        <v>91</v>
      </c>
      <c r="C124" s="186" t="s">
        <v>109</v>
      </c>
      <c r="D124" s="186" t="s">
        <v>94</v>
      </c>
      <c r="E124" s="187" t="s">
        <v>110</v>
      </c>
      <c r="F124" s="187" t="s">
        <v>93</v>
      </c>
      <c r="G124" s="188" t="s">
        <v>96</v>
      </c>
      <c r="H124" s="172"/>
      <c r="I124" s="172"/>
    </row>
    <row r="125" s="229" customFormat="true" ht="15" hidden="false" customHeight="false" outlineLevel="0" collapsed="false">
      <c r="A125" s="180"/>
      <c r="B125" s="228" t="s">
        <v>145</v>
      </c>
      <c r="C125" s="228"/>
      <c r="D125" s="228"/>
      <c r="E125" s="228"/>
      <c r="F125" s="228"/>
      <c r="G125" s="228"/>
      <c r="H125" s="172"/>
      <c r="I125" s="172"/>
    </row>
    <row r="126" s="210" customFormat="true" ht="15" hidden="false" customHeight="false" outlineLevel="0" collapsed="false">
      <c r="A126" s="180"/>
      <c r="B126" s="216" t="s">
        <v>146</v>
      </c>
      <c r="C126" s="199" t="n">
        <f aca="false">90-9</f>
        <v>81</v>
      </c>
      <c r="D126" s="199" t="n">
        <v>0.5</v>
      </c>
      <c r="E126" s="200" t="n">
        <v>0.5</v>
      </c>
      <c r="F126" s="230" t="n">
        <v>0.185</v>
      </c>
      <c r="G126" s="192" t="n">
        <f aca="false">((D126+E126)*2*F126*C126)+(C126*D126*E126)</f>
        <v>50.22</v>
      </c>
      <c r="H126" s="226"/>
      <c r="I126" s="211"/>
    </row>
    <row r="127" s="210" customFormat="true" ht="15" hidden="false" customHeight="false" outlineLevel="0" collapsed="false">
      <c r="A127" s="180"/>
      <c r="B127" s="216"/>
      <c r="C127" s="199" t="n">
        <v>9</v>
      </c>
      <c r="D127" s="199" t="n">
        <v>0.33</v>
      </c>
      <c r="E127" s="200" t="n">
        <v>0.5</v>
      </c>
      <c r="F127" s="230" t="n">
        <v>0.185</v>
      </c>
      <c r="G127" s="192" t="n">
        <f aca="false">(((D127+E127)*2)*F127*C127)+(C127*D127*E127)</f>
        <v>4.2489</v>
      </c>
      <c r="H127" s="226"/>
      <c r="I127" s="211"/>
    </row>
    <row r="128" s="210" customFormat="true" ht="15" hidden="false" customHeight="false" outlineLevel="0" collapsed="false">
      <c r="A128" s="180"/>
      <c r="B128" s="216" t="s">
        <v>147</v>
      </c>
      <c r="C128" s="199" t="n">
        <f aca="false">90-9</f>
        <v>81</v>
      </c>
      <c r="D128" s="199" t="n">
        <v>0.5</v>
      </c>
      <c r="E128" s="200" t="n">
        <v>0.5</v>
      </c>
      <c r="F128" s="230" t="n">
        <v>0.185</v>
      </c>
      <c r="G128" s="192" t="n">
        <f aca="false">(((D128+E128)*2)*F128*C128)+(C128*D128*E128)</f>
        <v>50.22</v>
      </c>
      <c r="H128" s="226"/>
      <c r="I128" s="211"/>
    </row>
    <row r="129" s="210" customFormat="true" ht="15" hidden="false" customHeight="false" outlineLevel="0" collapsed="false">
      <c r="A129" s="180"/>
      <c r="B129" s="216"/>
      <c r="C129" s="199" t="n">
        <v>9</v>
      </c>
      <c r="D129" s="199" t="n">
        <v>0.33</v>
      </c>
      <c r="E129" s="200" t="n">
        <v>0.5</v>
      </c>
      <c r="F129" s="230" t="n">
        <v>0.185</v>
      </c>
      <c r="G129" s="192" t="n">
        <f aca="false">(((D129+E129)*2)*F129*C129)+(C129*D129*E129)</f>
        <v>4.2489</v>
      </c>
      <c r="H129" s="226"/>
      <c r="I129" s="211"/>
    </row>
    <row r="130" s="210" customFormat="true" ht="15" hidden="false" customHeight="false" outlineLevel="0" collapsed="false">
      <c r="A130" s="180"/>
      <c r="B130" s="216" t="s">
        <v>148</v>
      </c>
      <c r="C130" s="199" t="n">
        <v>90</v>
      </c>
      <c r="D130" s="199" t="n">
        <v>0.5</v>
      </c>
      <c r="E130" s="200" t="n">
        <v>0.5</v>
      </c>
      <c r="F130" s="230" t="n">
        <v>0.185</v>
      </c>
      <c r="G130" s="192" t="n">
        <f aca="false">(((D130+E130)*2)*F130*C130)+(C130*D130*E130)</f>
        <v>55.8</v>
      </c>
      <c r="H130" s="226"/>
      <c r="I130" s="211"/>
    </row>
    <row r="131" s="210" customFormat="true" ht="15" hidden="false" customHeight="false" outlineLevel="0" collapsed="false">
      <c r="A131" s="180"/>
      <c r="B131" s="216"/>
      <c r="C131" s="199" t="n">
        <v>10</v>
      </c>
      <c r="D131" s="199" t="n">
        <v>0.33</v>
      </c>
      <c r="E131" s="200" t="n">
        <v>0.5</v>
      </c>
      <c r="F131" s="230" t="n">
        <v>0.185</v>
      </c>
      <c r="G131" s="192" t="n">
        <f aca="false">((D131+E131)*2)*F131*C131</f>
        <v>3.071</v>
      </c>
      <c r="H131" s="226"/>
      <c r="I131" s="211"/>
    </row>
    <row r="132" s="210" customFormat="true" ht="15" hidden="false" customHeight="false" outlineLevel="0" collapsed="false">
      <c r="A132" s="180"/>
      <c r="B132" s="216" t="s">
        <v>149</v>
      </c>
      <c r="C132" s="199" t="n">
        <v>81</v>
      </c>
      <c r="D132" s="199" t="n">
        <v>0.5</v>
      </c>
      <c r="E132" s="200" t="n">
        <v>0.5</v>
      </c>
      <c r="F132" s="230" t="n">
        <v>0.185</v>
      </c>
      <c r="G132" s="192" t="n">
        <f aca="false">(((D132+E132)*2)*F132*C132)+(C132*D132*E132)</f>
        <v>50.22</v>
      </c>
      <c r="H132" s="226"/>
      <c r="I132" s="211"/>
    </row>
    <row r="133" s="210" customFormat="true" ht="15" hidden="false" customHeight="false" outlineLevel="0" collapsed="false">
      <c r="A133" s="180"/>
      <c r="B133" s="189" t="s">
        <v>150</v>
      </c>
      <c r="C133" s="199" t="n">
        <v>90</v>
      </c>
      <c r="D133" s="199" t="n">
        <v>0.5</v>
      </c>
      <c r="E133" s="200" t="n">
        <v>0.5</v>
      </c>
      <c r="F133" s="230" t="n">
        <v>0.185</v>
      </c>
      <c r="G133" s="192" t="n">
        <f aca="false">(((D133+E133)*2)*F133*C133)+(C133*D133*E133)</f>
        <v>55.8</v>
      </c>
      <c r="H133" s="226"/>
      <c r="I133" s="211"/>
    </row>
    <row r="134" s="210" customFormat="true" ht="15" hidden="false" customHeight="false" outlineLevel="0" collapsed="false">
      <c r="A134" s="180"/>
      <c r="B134" s="216" t="s">
        <v>151</v>
      </c>
      <c r="C134" s="199" t="n">
        <v>90</v>
      </c>
      <c r="D134" s="199" t="n">
        <v>0.5</v>
      </c>
      <c r="E134" s="200" t="n">
        <v>0.5</v>
      </c>
      <c r="F134" s="230" t="n">
        <v>0.185</v>
      </c>
      <c r="G134" s="192" t="n">
        <f aca="false">(((D134+E134)*2)*F134*C134)+(C134*D134*E134)</f>
        <v>55.8</v>
      </c>
      <c r="I134" s="211"/>
    </row>
    <row r="135" s="210" customFormat="true" ht="15" hidden="false" customHeight="false" outlineLevel="0" collapsed="false">
      <c r="A135" s="180"/>
      <c r="B135" s="216"/>
      <c r="C135" s="199" t="n">
        <v>10</v>
      </c>
      <c r="D135" s="199" t="n">
        <v>0.5</v>
      </c>
      <c r="E135" s="200" t="n">
        <v>0.48</v>
      </c>
      <c r="F135" s="230" t="n">
        <v>0.185</v>
      </c>
      <c r="G135" s="192" t="n">
        <f aca="false">(((D135+E135)*2)*F135*C135)+(C135*D135*E135)</f>
        <v>6.026</v>
      </c>
      <c r="I135" s="211"/>
    </row>
    <row r="136" s="210" customFormat="true" ht="15" hidden="false" customHeight="false" outlineLevel="0" collapsed="false">
      <c r="A136" s="180"/>
      <c r="B136" s="202" t="s">
        <v>152</v>
      </c>
      <c r="C136" s="203" t="n">
        <v>59</v>
      </c>
      <c r="D136" s="199" t="n">
        <v>0.5</v>
      </c>
      <c r="E136" s="231" t="n">
        <v>0.5</v>
      </c>
      <c r="F136" s="232" t="n">
        <v>0.185</v>
      </c>
      <c r="G136" s="192" t="n">
        <f aca="false">(((D136+E136)*2)*F136*C136)+(C136*D136*E136)</f>
        <v>36.58</v>
      </c>
      <c r="I136" s="211"/>
    </row>
    <row r="137" s="210" customFormat="true" ht="15" hidden="false" customHeight="false" outlineLevel="0" collapsed="false">
      <c r="A137" s="180"/>
      <c r="B137" s="202"/>
      <c r="C137" s="203" t="n">
        <v>5</v>
      </c>
      <c r="D137" s="203" t="n">
        <v>0.3</v>
      </c>
      <c r="E137" s="231" t="n">
        <v>0.5</v>
      </c>
      <c r="F137" s="232" t="n">
        <v>0.185</v>
      </c>
      <c r="G137" s="192" t="n">
        <f aca="false">(((D137+E137)*2)*F137*C137)+(C137*D137*E137)</f>
        <v>2.23</v>
      </c>
      <c r="I137" s="211"/>
    </row>
    <row r="138" s="210" customFormat="true" ht="15" hidden="false" customHeight="true" outlineLevel="0" collapsed="false">
      <c r="A138" s="180"/>
      <c r="B138" s="193" t="s">
        <v>118</v>
      </c>
      <c r="C138" s="193"/>
      <c r="D138" s="193"/>
      <c r="E138" s="193"/>
      <c r="F138" s="193"/>
      <c r="G138" s="194" t="n">
        <f aca="false">SUM(G126:G137)</f>
        <v>374.4648</v>
      </c>
      <c r="H138" s="172"/>
      <c r="I138" s="172"/>
      <c r="J138" s="210" t="n">
        <f aca="false">G138*0.045</f>
        <v>16.850916</v>
      </c>
    </row>
    <row r="139" s="210" customFormat="true" ht="15" hidden="false" customHeight="false" outlineLevel="0" collapsed="false">
      <c r="A139" s="180"/>
      <c r="B139" s="195"/>
      <c r="C139" s="177"/>
      <c r="D139" s="177"/>
      <c r="E139" s="233"/>
      <c r="F139" s="172"/>
      <c r="G139" s="172"/>
      <c r="H139" s="172"/>
      <c r="I139" s="172"/>
    </row>
    <row r="140" s="210" customFormat="true" ht="15" hidden="false" customHeight="false" outlineLevel="0" collapsed="false">
      <c r="A140" s="182" t="s">
        <v>39</v>
      </c>
      <c r="B140" s="195" t="str">
        <f aca="false">'Composições '!C90</f>
        <v>Preparo de substrato por escarificação mecânica (corte de concreto) para espessuras de até 3,0cm</v>
      </c>
      <c r="C140" s="177"/>
      <c r="D140" s="177"/>
      <c r="E140" s="209"/>
      <c r="F140" s="209"/>
      <c r="G140" s="211"/>
      <c r="H140" s="172"/>
      <c r="I140" s="172"/>
    </row>
    <row r="141" s="210" customFormat="true" ht="15.75" hidden="false" customHeight="false" outlineLevel="0" collapsed="false">
      <c r="A141" s="182"/>
      <c r="B141" s="195"/>
      <c r="C141" s="177"/>
      <c r="D141" s="177"/>
      <c r="E141" s="209"/>
      <c r="F141" s="209"/>
      <c r="G141" s="211"/>
      <c r="H141" s="172"/>
      <c r="I141" s="172"/>
    </row>
    <row r="142" s="210" customFormat="true" ht="15" hidden="false" customHeight="false" outlineLevel="0" collapsed="false">
      <c r="A142" s="180"/>
      <c r="B142" s="185" t="s">
        <v>91</v>
      </c>
      <c r="C142" s="186" t="s">
        <v>109</v>
      </c>
      <c r="D142" s="186" t="s">
        <v>94</v>
      </c>
      <c r="E142" s="187" t="s">
        <v>110</v>
      </c>
      <c r="F142" s="187" t="s">
        <v>93</v>
      </c>
      <c r="G142" s="188" t="s">
        <v>96</v>
      </c>
      <c r="H142" s="172"/>
      <c r="I142" s="172"/>
    </row>
    <row r="143" s="229" customFormat="true" ht="15" hidden="false" customHeight="false" outlineLevel="0" collapsed="false">
      <c r="A143" s="180"/>
      <c r="B143" s="228" t="s">
        <v>145</v>
      </c>
      <c r="C143" s="228"/>
      <c r="D143" s="228"/>
      <c r="E143" s="228"/>
      <c r="F143" s="228"/>
      <c r="G143" s="228"/>
      <c r="H143" s="172"/>
      <c r="I143" s="172"/>
    </row>
    <row r="144" s="210" customFormat="true" ht="15" hidden="false" customHeight="false" outlineLevel="0" collapsed="false">
      <c r="A144" s="180"/>
      <c r="B144" s="216" t="s">
        <v>153</v>
      </c>
      <c r="C144" s="199" t="n">
        <v>8</v>
      </c>
      <c r="D144" s="199" t="n">
        <v>5.73</v>
      </c>
      <c r="E144" s="200" t="n">
        <v>0.1</v>
      </c>
      <c r="F144" s="200"/>
      <c r="G144" s="192" t="n">
        <f aca="false">C144*D144*E144</f>
        <v>4.584</v>
      </c>
      <c r="H144" s="172"/>
      <c r="I144" s="172"/>
    </row>
    <row r="145" s="210" customFormat="true" ht="15" hidden="false" customHeight="false" outlineLevel="0" collapsed="false">
      <c r="A145" s="180"/>
      <c r="B145" s="216"/>
      <c r="C145" s="199" t="n">
        <v>1</v>
      </c>
      <c r="D145" s="199" t="n">
        <v>5.73</v>
      </c>
      <c r="E145" s="200" t="n">
        <v>0.18</v>
      </c>
      <c r="F145" s="200"/>
      <c r="G145" s="192" t="n">
        <f aca="false">C145*D145*E145</f>
        <v>1.0314</v>
      </c>
      <c r="H145" s="172"/>
      <c r="I145" s="172"/>
    </row>
    <row r="146" s="210" customFormat="true" ht="15" hidden="false" customHeight="false" outlineLevel="0" collapsed="false">
      <c r="A146" s="180"/>
      <c r="B146" s="216" t="s">
        <v>154</v>
      </c>
      <c r="C146" s="199" t="n">
        <v>8</v>
      </c>
      <c r="D146" s="199" t="n">
        <v>5.73</v>
      </c>
      <c r="E146" s="200" t="n">
        <v>0.1</v>
      </c>
      <c r="F146" s="200"/>
      <c r="G146" s="192" t="n">
        <f aca="false">C146*D146*E146</f>
        <v>4.584</v>
      </c>
      <c r="H146" s="172"/>
      <c r="I146" s="172"/>
    </row>
    <row r="147" s="210" customFormat="true" ht="15" hidden="false" customHeight="false" outlineLevel="0" collapsed="false">
      <c r="A147" s="180"/>
      <c r="B147" s="216"/>
      <c r="C147" s="199" t="n">
        <v>1</v>
      </c>
      <c r="D147" s="199" t="n">
        <v>5.73</v>
      </c>
      <c r="E147" s="200" t="n">
        <v>0.16</v>
      </c>
      <c r="F147" s="200"/>
      <c r="G147" s="192" t="n">
        <f aca="false">C147*D147*E147</f>
        <v>0.9168</v>
      </c>
      <c r="H147" s="172"/>
      <c r="I147" s="172"/>
    </row>
    <row r="148" s="210" customFormat="true" ht="15" hidden="false" customHeight="false" outlineLevel="0" collapsed="false">
      <c r="A148" s="180"/>
      <c r="B148" s="189" t="s">
        <v>155</v>
      </c>
      <c r="C148" s="199" t="n">
        <v>9</v>
      </c>
      <c r="D148" s="199" t="n">
        <v>5.73</v>
      </c>
      <c r="E148" s="200" t="n">
        <v>0.1</v>
      </c>
      <c r="F148" s="200"/>
      <c r="G148" s="192" t="n">
        <f aca="false">C148*D148*E148</f>
        <v>5.157</v>
      </c>
      <c r="H148" s="226"/>
      <c r="I148" s="211"/>
    </row>
    <row r="149" s="210" customFormat="true" ht="15" hidden="false" customHeight="false" outlineLevel="0" collapsed="false">
      <c r="A149" s="180"/>
      <c r="B149" s="216" t="s">
        <v>156</v>
      </c>
      <c r="C149" s="199" t="n">
        <v>8</v>
      </c>
      <c r="D149" s="199" t="n">
        <v>5.48</v>
      </c>
      <c r="E149" s="200" t="n">
        <v>0.1</v>
      </c>
      <c r="F149" s="200"/>
      <c r="G149" s="192" t="n">
        <f aca="false">C149*D149*E149</f>
        <v>4.384</v>
      </c>
      <c r="H149" s="226"/>
      <c r="I149" s="211"/>
    </row>
    <row r="150" s="210" customFormat="true" ht="15" hidden="false" customHeight="false" outlineLevel="0" collapsed="false">
      <c r="A150" s="180"/>
      <c r="B150" s="216"/>
      <c r="C150" s="199" t="n">
        <v>1</v>
      </c>
      <c r="D150" s="199" t="n">
        <v>5.48</v>
      </c>
      <c r="E150" s="200" t="n">
        <v>0.18</v>
      </c>
      <c r="F150" s="200"/>
      <c r="G150" s="192" t="n">
        <f aca="false">C150*D150*E150</f>
        <v>0.9864</v>
      </c>
      <c r="H150" s="226"/>
      <c r="I150" s="211"/>
    </row>
    <row r="151" s="210" customFormat="true" ht="15" hidden="false" customHeight="false" outlineLevel="0" collapsed="false">
      <c r="A151" s="180"/>
      <c r="B151" s="216" t="s">
        <v>157</v>
      </c>
      <c r="C151" s="203" t="n">
        <v>8</v>
      </c>
      <c r="D151" s="203" t="n">
        <v>5.48</v>
      </c>
      <c r="E151" s="191" t="n">
        <v>0.1</v>
      </c>
      <c r="F151" s="191"/>
      <c r="G151" s="192" t="n">
        <f aca="false">C151*D151*E151</f>
        <v>4.384</v>
      </c>
      <c r="H151" s="172"/>
      <c r="I151" s="172"/>
    </row>
    <row r="152" s="210" customFormat="true" ht="15" hidden="false" customHeight="false" outlineLevel="0" collapsed="false">
      <c r="A152" s="180"/>
      <c r="B152" s="216"/>
      <c r="C152" s="203" t="n">
        <v>1</v>
      </c>
      <c r="D152" s="203" t="n">
        <v>5.48</v>
      </c>
      <c r="E152" s="191" t="n">
        <v>0.16</v>
      </c>
      <c r="F152" s="212"/>
      <c r="G152" s="192" t="n">
        <f aca="false">C152*D152*E152</f>
        <v>0.8768</v>
      </c>
      <c r="H152" s="172"/>
      <c r="I152" s="172"/>
    </row>
    <row r="153" s="210" customFormat="true" ht="15" hidden="false" customHeight="false" outlineLevel="0" collapsed="false">
      <c r="A153" s="180"/>
      <c r="B153" s="206" t="s">
        <v>158</v>
      </c>
      <c r="C153" s="203" t="n">
        <v>9</v>
      </c>
      <c r="D153" s="203" t="n">
        <v>5.48</v>
      </c>
      <c r="E153" s="191" t="n">
        <v>0.1</v>
      </c>
      <c r="F153" s="212"/>
      <c r="G153" s="192" t="n">
        <f aca="false">C153*D153*E153</f>
        <v>4.932</v>
      </c>
      <c r="H153" s="172"/>
      <c r="I153" s="172"/>
    </row>
    <row r="154" s="210" customFormat="true" ht="15" hidden="false" customHeight="false" outlineLevel="0" collapsed="false">
      <c r="A154" s="180"/>
      <c r="B154" s="206" t="s">
        <v>159</v>
      </c>
      <c r="C154" s="203" t="n">
        <v>4</v>
      </c>
      <c r="D154" s="203" t="n">
        <v>6.5</v>
      </c>
      <c r="E154" s="191" t="n">
        <v>0.1</v>
      </c>
      <c r="F154" s="205"/>
      <c r="G154" s="192" t="n">
        <f aca="false">C154*D154*E154</f>
        <v>2.6</v>
      </c>
      <c r="H154" s="172"/>
      <c r="I154" s="172"/>
    </row>
    <row r="155" s="210" customFormat="true" ht="15" hidden="false" customHeight="false" outlineLevel="0" collapsed="false">
      <c r="A155" s="180"/>
      <c r="B155" s="206" t="s">
        <v>160</v>
      </c>
      <c r="C155" s="203" t="n">
        <v>2</v>
      </c>
      <c r="D155" s="203" t="n">
        <v>1.5</v>
      </c>
      <c r="E155" s="191" t="n">
        <v>0.1</v>
      </c>
      <c r="F155" s="191"/>
      <c r="G155" s="192" t="n">
        <f aca="false">C155*D155*E155</f>
        <v>0.3</v>
      </c>
      <c r="H155" s="172"/>
      <c r="I155" s="172"/>
    </row>
    <row r="156" s="210" customFormat="true" ht="15" hidden="false" customHeight="true" outlineLevel="0" collapsed="false">
      <c r="A156" s="180"/>
      <c r="B156" s="193" t="s">
        <v>118</v>
      </c>
      <c r="C156" s="193"/>
      <c r="D156" s="193"/>
      <c r="E156" s="193"/>
      <c r="F156" s="193"/>
      <c r="G156" s="194" t="n">
        <f aca="false">SUM(G144:G155)</f>
        <v>34.7364</v>
      </c>
      <c r="H156" s="172"/>
      <c r="I156" s="172"/>
    </row>
    <row r="157" s="210" customFormat="true" ht="15" hidden="false" customHeight="false" outlineLevel="0" collapsed="false">
      <c r="A157" s="180"/>
      <c r="B157" s="165"/>
      <c r="C157" s="172"/>
      <c r="D157" s="172"/>
      <c r="E157" s="233"/>
      <c r="F157" s="172"/>
      <c r="G157" s="172"/>
      <c r="H157" s="172"/>
      <c r="I157" s="172"/>
    </row>
    <row r="158" s="210" customFormat="true" ht="15" hidden="false" customHeight="false" outlineLevel="0" collapsed="false">
      <c r="A158" s="182" t="s">
        <v>40</v>
      </c>
      <c r="B158" s="195" t="str">
        <f aca="false">'Composições '!C102</f>
        <v>Preparo de substrato por escarificação mecânica (corte de concreto) para espessuras acima de 3,0cm e até 6,0cm</v>
      </c>
      <c r="C158" s="172"/>
      <c r="D158" s="172"/>
      <c r="E158" s="209"/>
      <c r="F158" s="209"/>
      <c r="G158" s="211"/>
      <c r="H158" s="172"/>
      <c r="I158" s="172"/>
    </row>
    <row r="159" s="210" customFormat="true" ht="15.75" hidden="false" customHeight="false" outlineLevel="0" collapsed="false">
      <c r="A159" s="182"/>
      <c r="B159" s="165"/>
      <c r="C159" s="172"/>
      <c r="D159" s="172"/>
      <c r="E159" s="209"/>
      <c r="F159" s="209"/>
      <c r="G159" s="211"/>
      <c r="H159" s="172"/>
      <c r="I159" s="172"/>
    </row>
    <row r="160" s="210" customFormat="true" ht="15" hidden="false" customHeight="false" outlineLevel="0" collapsed="false">
      <c r="A160" s="180"/>
      <c r="B160" s="185" t="s">
        <v>91</v>
      </c>
      <c r="C160" s="186" t="s">
        <v>109</v>
      </c>
      <c r="D160" s="186" t="s">
        <v>94</v>
      </c>
      <c r="E160" s="187" t="s">
        <v>110</v>
      </c>
      <c r="F160" s="187" t="s">
        <v>93</v>
      </c>
      <c r="G160" s="188" t="s">
        <v>96</v>
      </c>
      <c r="H160" s="172"/>
      <c r="I160" s="172"/>
    </row>
    <row r="161" s="229" customFormat="true" ht="15" hidden="false" customHeight="false" outlineLevel="0" collapsed="false">
      <c r="A161" s="180"/>
      <c r="B161" s="228" t="s">
        <v>145</v>
      </c>
      <c r="C161" s="228"/>
      <c r="D161" s="228"/>
      <c r="E161" s="228"/>
      <c r="F161" s="228"/>
      <c r="G161" s="228"/>
      <c r="H161" s="172"/>
      <c r="I161" s="172"/>
    </row>
    <row r="162" s="210" customFormat="true" ht="15" hidden="false" customHeight="false" outlineLevel="0" collapsed="false">
      <c r="A162" s="180"/>
      <c r="B162" s="189" t="s">
        <v>153</v>
      </c>
      <c r="C162" s="199" t="n">
        <f aca="false">9*9</f>
        <v>81</v>
      </c>
      <c r="D162" s="199" t="n">
        <v>0.5</v>
      </c>
      <c r="E162" s="200" t="n">
        <v>0.1</v>
      </c>
      <c r="F162" s="200"/>
      <c r="G162" s="192" t="n">
        <f aca="false">C162*D162*E162</f>
        <v>4.05</v>
      </c>
      <c r="H162" s="172"/>
      <c r="I162" s="172"/>
    </row>
    <row r="163" s="210" customFormat="true" ht="15" hidden="false" customHeight="false" outlineLevel="0" collapsed="false">
      <c r="A163" s="180"/>
      <c r="B163" s="189" t="s">
        <v>154</v>
      </c>
      <c r="C163" s="199" t="n">
        <f aca="false">9*9</f>
        <v>81</v>
      </c>
      <c r="D163" s="199" t="n">
        <v>0.5</v>
      </c>
      <c r="E163" s="200" t="n">
        <v>0.1</v>
      </c>
      <c r="F163" s="200"/>
      <c r="G163" s="192" t="n">
        <f aca="false">C163*D163*E163</f>
        <v>4.05</v>
      </c>
      <c r="H163" s="172"/>
      <c r="I163" s="172"/>
    </row>
    <row r="164" s="210" customFormat="true" ht="15" hidden="false" customHeight="false" outlineLevel="0" collapsed="false">
      <c r="A164" s="180"/>
      <c r="B164" s="216" t="s">
        <v>155</v>
      </c>
      <c r="C164" s="199" t="n">
        <f aca="false">8*9</f>
        <v>72</v>
      </c>
      <c r="D164" s="199" t="n">
        <v>0.5</v>
      </c>
      <c r="E164" s="200" t="n">
        <v>0.1</v>
      </c>
      <c r="F164" s="200"/>
      <c r="G164" s="192" t="n">
        <f aca="false">C164*D164*E164</f>
        <v>3.6</v>
      </c>
      <c r="H164" s="226"/>
      <c r="I164" s="211"/>
    </row>
    <row r="165" s="210" customFormat="true" ht="15" hidden="false" customHeight="false" outlineLevel="0" collapsed="false">
      <c r="A165" s="180"/>
      <c r="B165" s="216"/>
      <c r="C165" s="199" t="n">
        <f aca="false">2*9</f>
        <v>18</v>
      </c>
      <c r="D165" s="199" t="n">
        <v>0.48</v>
      </c>
      <c r="E165" s="200" t="n">
        <v>0.1</v>
      </c>
      <c r="F165" s="200"/>
      <c r="G165" s="192" t="n">
        <f aca="false">C165*D165*E165</f>
        <v>0.864</v>
      </c>
      <c r="H165" s="226"/>
      <c r="I165" s="211"/>
    </row>
    <row r="166" s="210" customFormat="true" ht="15" hidden="false" customHeight="false" outlineLevel="0" collapsed="false">
      <c r="A166" s="180"/>
      <c r="B166" s="216" t="s">
        <v>156</v>
      </c>
      <c r="C166" s="199" t="n">
        <f aca="false">8*9</f>
        <v>72</v>
      </c>
      <c r="D166" s="199" t="n">
        <v>0.5</v>
      </c>
      <c r="E166" s="200" t="n">
        <v>0.1</v>
      </c>
      <c r="F166" s="200"/>
      <c r="G166" s="192" t="n">
        <f aca="false">C166*D166*E166</f>
        <v>3.6</v>
      </c>
      <c r="H166" s="226"/>
      <c r="I166" s="211"/>
    </row>
    <row r="167" s="210" customFormat="true" ht="15" hidden="false" customHeight="false" outlineLevel="0" collapsed="false">
      <c r="A167" s="180"/>
      <c r="B167" s="216"/>
      <c r="C167" s="199" t="n">
        <f aca="false">1*9</f>
        <v>9</v>
      </c>
      <c r="D167" s="199" t="n">
        <v>0.5</v>
      </c>
      <c r="E167" s="200" t="n">
        <v>0.18</v>
      </c>
      <c r="F167" s="200"/>
      <c r="G167" s="192" t="n">
        <f aca="false">C167*D167*E167</f>
        <v>0.81</v>
      </c>
      <c r="H167" s="226"/>
      <c r="I167" s="211"/>
    </row>
    <row r="168" s="210" customFormat="true" ht="15" hidden="false" customHeight="false" outlineLevel="0" collapsed="false">
      <c r="A168" s="180"/>
      <c r="B168" s="216" t="s">
        <v>157</v>
      </c>
      <c r="C168" s="203" t="n">
        <f aca="false">8*9</f>
        <v>72</v>
      </c>
      <c r="D168" s="203" t="n">
        <v>0.5</v>
      </c>
      <c r="E168" s="191" t="n">
        <v>0.1</v>
      </c>
      <c r="F168" s="212"/>
      <c r="G168" s="192" t="n">
        <f aca="false">C168*D168*E168</f>
        <v>3.6</v>
      </c>
      <c r="H168" s="172"/>
      <c r="I168" s="172"/>
    </row>
    <row r="169" s="210" customFormat="true" ht="15" hidden="false" customHeight="false" outlineLevel="0" collapsed="false">
      <c r="A169" s="180"/>
      <c r="B169" s="216"/>
      <c r="C169" s="203" t="n">
        <f aca="false">1*9</f>
        <v>9</v>
      </c>
      <c r="D169" s="203" t="n">
        <v>0.5</v>
      </c>
      <c r="E169" s="191" t="n">
        <v>0.18</v>
      </c>
      <c r="F169" s="212"/>
      <c r="G169" s="192" t="n">
        <f aca="false">C169*D169*E169</f>
        <v>0.81</v>
      </c>
      <c r="H169" s="172"/>
      <c r="I169" s="172"/>
    </row>
    <row r="170" s="210" customFormat="true" ht="15" hidden="false" customHeight="false" outlineLevel="0" collapsed="false">
      <c r="A170" s="180"/>
      <c r="B170" s="216" t="s">
        <v>158</v>
      </c>
      <c r="C170" s="203" t="n">
        <f aca="false">8*8</f>
        <v>64</v>
      </c>
      <c r="D170" s="203" t="n">
        <v>0.5</v>
      </c>
      <c r="E170" s="191" t="n">
        <v>0.1</v>
      </c>
      <c r="F170" s="212"/>
      <c r="G170" s="192" t="n">
        <f aca="false">C170*D170*E170</f>
        <v>3.2</v>
      </c>
      <c r="H170" s="172"/>
      <c r="I170" s="172"/>
    </row>
    <row r="171" s="210" customFormat="true" ht="15" hidden="false" customHeight="false" outlineLevel="0" collapsed="false">
      <c r="A171" s="180"/>
      <c r="B171" s="216"/>
      <c r="C171" s="203" t="n">
        <f aca="false">2*8</f>
        <v>16</v>
      </c>
      <c r="D171" s="203" t="n">
        <v>0.48</v>
      </c>
      <c r="E171" s="191" t="n">
        <v>0.1</v>
      </c>
      <c r="F171" s="212"/>
      <c r="G171" s="192" t="n">
        <f aca="false">C171*D171*E171</f>
        <v>0.768</v>
      </c>
      <c r="H171" s="172"/>
      <c r="I171" s="172"/>
    </row>
    <row r="172" s="210" customFormat="true" ht="15" hidden="false" customHeight="false" outlineLevel="0" collapsed="false">
      <c r="A172" s="180"/>
      <c r="B172" s="216"/>
      <c r="C172" s="203" t="n">
        <v>8</v>
      </c>
      <c r="D172" s="203" t="n">
        <v>0.5</v>
      </c>
      <c r="E172" s="191" t="n">
        <v>0.18</v>
      </c>
      <c r="F172" s="191"/>
      <c r="G172" s="192" t="n">
        <f aca="false">C172*D172*E172</f>
        <v>0.72</v>
      </c>
      <c r="H172" s="172"/>
      <c r="I172" s="172"/>
    </row>
    <row r="173" s="210" customFormat="true" ht="15" hidden="false" customHeight="false" outlineLevel="0" collapsed="false">
      <c r="A173" s="180"/>
      <c r="B173" s="216"/>
      <c r="C173" s="203" t="n">
        <v>2</v>
      </c>
      <c r="D173" s="203" t="n">
        <v>0.48</v>
      </c>
      <c r="E173" s="191" t="n">
        <v>0.18</v>
      </c>
      <c r="F173" s="205"/>
      <c r="G173" s="192" t="n">
        <f aca="false">C173*D173*E173</f>
        <v>0.1728</v>
      </c>
      <c r="H173" s="172"/>
      <c r="I173" s="172"/>
    </row>
    <row r="174" s="210" customFormat="true" ht="15" hidden="false" customHeight="false" outlineLevel="0" collapsed="false">
      <c r="A174" s="180"/>
      <c r="B174" s="216" t="s">
        <v>159</v>
      </c>
      <c r="C174" s="203" t="n">
        <f aca="false">5*10</f>
        <v>50</v>
      </c>
      <c r="D174" s="203" t="n">
        <v>0.5</v>
      </c>
      <c r="E174" s="191" t="n">
        <v>0.1</v>
      </c>
      <c r="F174" s="205"/>
      <c r="G174" s="192" t="n">
        <f aca="false">C174*D174*E174</f>
        <v>2.5</v>
      </c>
      <c r="H174" s="172"/>
      <c r="I174" s="172"/>
    </row>
    <row r="175" s="210" customFormat="true" ht="15" hidden="false" customHeight="false" outlineLevel="0" collapsed="false">
      <c r="A175" s="180"/>
      <c r="B175" s="216" t="s">
        <v>160</v>
      </c>
      <c r="C175" s="203" t="n">
        <f aca="false">2*2</f>
        <v>4</v>
      </c>
      <c r="D175" s="203" t="n">
        <v>0.5</v>
      </c>
      <c r="E175" s="191" t="n">
        <v>0.1</v>
      </c>
      <c r="F175" s="212"/>
      <c r="G175" s="192" t="n">
        <f aca="false">C175*D175*E175</f>
        <v>0.2</v>
      </c>
      <c r="H175" s="172"/>
      <c r="I175" s="172"/>
    </row>
    <row r="176" s="210" customFormat="true" ht="15" hidden="false" customHeight="false" outlineLevel="0" collapsed="false">
      <c r="A176" s="180"/>
      <c r="B176" s="216"/>
      <c r="C176" s="203" t="n">
        <f aca="false">1*2</f>
        <v>2</v>
      </c>
      <c r="D176" s="203" t="n">
        <v>0.3</v>
      </c>
      <c r="E176" s="191" t="n">
        <v>0.1</v>
      </c>
      <c r="F176" s="234"/>
      <c r="G176" s="192" t="n">
        <f aca="false">C176*D176*E176</f>
        <v>0.06</v>
      </c>
      <c r="H176" s="172"/>
      <c r="I176" s="172"/>
    </row>
    <row r="177" s="229" customFormat="true" ht="15" hidden="false" customHeight="false" outlineLevel="0" collapsed="false">
      <c r="A177" s="180"/>
      <c r="B177" s="228" t="s">
        <v>161</v>
      </c>
      <c r="C177" s="228"/>
      <c r="D177" s="228"/>
      <c r="E177" s="228"/>
      <c r="F177" s="228"/>
      <c r="G177" s="228"/>
      <c r="H177" s="172"/>
      <c r="I177" s="172"/>
    </row>
    <row r="178" s="210" customFormat="true" ht="15" hidden="false" customHeight="false" outlineLevel="0" collapsed="false">
      <c r="A178" s="180"/>
      <c r="B178" s="227" t="s">
        <v>134</v>
      </c>
      <c r="C178" s="203" t="n">
        <v>1</v>
      </c>
      <c r="D178" s="203" t="n">
        <v>5.43</v>
      </c>
      <c r="E178" s="191" t="n">
        <v>0.15</v>
      </c>
      <c r="F178" s="208" t="n">
        <v>0.4</v>
      </c>
      <c r="G178" s="192" t="n">
        <f aca="false">C178*D178*(E178+F178)</f>
        <v>2.9865</v>
      </c>
      <c r="I178" s="172"/>
    </row>
    <row r="179" s="210" customFormat="true" ht="15" hidden="false" customHeight="false" outlineLevel="0" collapsed="false">
      <c r="A179" s="180"/>
      <c r="B179" s="227" t="s">
        <v>135</v>
      </c>
      <c r="C179" s="203" t="n">
        <v>1</v>
      </c>
      <c r="D179" s="203" t="n">
        <v>5.28</v>
      </c>
      <c r="E179" s="191" t="n">
        <v>0.15</v>
      </c>
      <c r="F179" s="208" t="n">
        <v>0.4</v>
      </c>
      <c r="G179" s="192" t="n">
        <f aca="false">C179*D179*(E179+F179)</f>
        <v>2.904</v>
      </c>
      <c r="I179" s="172"/>
    </row>
    <row r="180" s="210" customFormat="true" ht="15" hidden="false" customHeight="false" outlineLevel="0" collapsed="false">
      <c r="A180" s="180"/>
      <c r="B180" s="227" t="s">
        <v>162</v>
      </c>
      <c r="C180" s="203" t="n">
        <v>1</v>
      </c>
      <c r="D180" s="203" t="n">
        <v>5.66</v>
      </c>
      <c r="E180" s="191" t="n">
        <v>0.15</v>
      </c>
      <c r="F180" s="208" t="n">
        <v>0.4</v>
      </c>
      <c r="G180" s="192" t="n">
        <f aca="false">C180*D180*(E180+(F180*2))</f>
        <v>5.377</v>
      </c>
      <c r="I180" s="172"/>
    </row>
    <row r="181" s="210" customFormat="true" ht="15" hidden="false" customHeight="true" outlineLevel="0" collapsed="false">
      <c r="A181" s="180"/>
      <c r="B181" s="193" t="s">
        <v>118</v>
      </c>
      <c r="C181" s="193"/>
      <c r="D181" s="193"/>
      <c r="E181" s="193"/>
      <c r="F181" s="193"/>
      <c r="G181" s="194" t="n">
        <f aca="false">SUM(G162:G180)</f>
        <v>40.2723</v>
      </c>
      <c r="I181" s="211"/>
      <c r="J181" s="229"/>
      <c r="K181" s="229"/>
      <c r="L181" s="229"/>
      <c r="M181" s="229"/>
      <c r="N181" s="229"/>
      <c r="O181" s="229"/>
      <c r="P181" s="229"/>
      <c r="Q181" s="229"/>
      <c r="R181" s="229"/>
      <c r="S181" s="229"/>
      <c r="T181" s="229"/>
      <c r="U181" s="229"/>
      <c r="V181" s="229"/>
      <c r="W181" s="229"/>
      <c r="X181" s="229"/>
      <c r="Y181" s="229"/>
    </row>
    <row r="182" s="210" customFormat="true" ht="15" hidden="false" customHeight="false" outlineLevel="0" collapsed="false">
      <c r="A182" s="229"/>
      <c r="B182" s="195"/>
      <c r="C182" s="229"/>
      <c r="D182" s="229"/>
      <c r="E182" s="229"/>
      <c r="F182" s="229"/>
      <c r="G182" s="229"/>
      <c r="H182" s="229"/>
      <c r="I182" s="229"/>
      <c r="J182" s="229"/>
      <c r="K182" s="229"/>
      <c r="L182" s="229"/>
      <c r="M182" s="229"/>
      <c r="N182" s="229"/>
      <c r="O182" s="229"/>
      <c r="P182" s="229"/>
      <c r="Q182" s="229"/>
      <c r="R182" s="229"/>
      <c r="S182" s="229"/>
      <c r="T182" s="229"/>
      <c r="U182" s="229"/>
      <c r="V182" s="229"/>
      <c r="W182" s="229"/>
      <c r="X182" s="229"/>
      <c r="Y182" s="229"/>
    </row>
    <row r="183" s="235" customFormat="true" ht="15" hidden="false" customHeight="false" outlineLevel="0" collapsed="false">
      <c r="A183" s="182" t="s">
        <v>41</v>
      </c>
      <c r="B183" s="195" t="str">
        <f aca="false">'Composições '!C114</f>
        <v>Escovação elétrica de armadura com escova metálica circular</v>
      </c>
      <c r="C183" s="229"/>
      <c r="D183" s="229"/>
      <c r="E183" s="229"/>
      <c r="F183" s="229"/>
      <c r="G183" s="229"/>
      <c r="H183" s="229"/>
      <c r="I183" s="229"/>
      <c r="J183" s="229"/>
      <c r="K183" s="229"/>
      <c r="L183" s="229"/>
      <c r="M183" s="229"/>
      <c r="N183" s="229"/>
      <c r="O183" s="229"/>
      <c r="P183" s="229"/>
      <c r="Q183" s="229"/>
      <c r="R183" s="229"/>
      <c r="S183" s="229"/>
      <c r="T183" s="229"/>
      <c r="U183" s="229"/>
      <c r="V183" s="229"/>
      <c r="W183" s="229"/>
      <c r="X183" s="229"/>
      <c r="Y183" s="229"/>
    </row>
    <row r="184" customFormat="false" ht="15.75" hidden="false" customHeight="false" outlineLevel="0" collapsed="false">
      <c r="A184" s="229"/>
      <c r="B184" s="195"/>
      <c r="C184" s="229"/>
      <c r="D184" s="229"/>
      <c r="E184" s="229"/>
      <c r="F184" s="229"/>
      <c r="G184" s="229"/>
      <c r="H184" s="229"/>
      <c r="I184" s="229"/>
      <c r="J184" s="229"/>
      <c r="K184" s="229"/>
      <c r="L184" s="229"/>
      <c r="M184" s="229"/>
      <c r="N184" s="229"/>
      <c r="O184" s="229"/>
      <c r="P184" s="229"/>
      <c r="Q184" s="229"/>
      <c r="R184" s="229"/>
      <c r="S184" s="229"/>
      <c r="T184" s="229"/>
      <c r="U184" s="229"/>
      <c r="V184" s="229"/>
      <c r="W184" s="229"/>
      <c r="X184" s="229"/>
      <c r="Y184" s="229"/>
    </row>
    <row r="185" s="229" customFormat="true" ht="15" hidden="false" customHeight="true" outlineLevel="0" collapsed="false">
      <c r="A185" s="180"/>
      <c r="B185" s="185" t="s">
        <v>91</v>
      </c>
      <c r="C185" s="215" t="s">
        <v>109</v>
      </c>
      <c r="D185" s="215" t="s">
        <v>94</v>
      </c>
      <c r="E185" s="187" t="s">
        <v>110</v>
      </c>
      <c r="F185" s="187" t="s">
        <v>163</v>
      </c>
      <c r="G185" s="236" t="s">
        <v>164</v>
      </c>
    </row>
    <row r="186" s="229" customFormat="true" ht="15" hidden="false" customHeight="true" outlineLevel="0" collapsed="false">
      <c r="A186" s="180"/>
      <c r="B186" s="228" t="s">
        <v>165</v>
      </c>
      <c r="C186" s="228"/>
      <c r="D186" s="228"/>
      <c r="E186" s="228"/>
      <c r="F186" s="228"/>
      <c r="G186" s="228"/>
    </row>
    <row r="187" s="229" customFormat="true" ht="15" hidden="false" customHeight="true" outlineLevel="0" collapsed="false">
      <c r="A187" s="180"/>
      <c r="B187" s="189" t="s">
        <v>101</v>
      </c>
      <c r="C187" s="237" t="n">
        <f aca="false">9*5</f>
        <v>45</v>
      </c>
      <c r="D187" s="237" t="n">
        <v>5.73</v>
      </c>
      <c r="E187" s="200"/>
      <c r="F187" s="200"/>
      <c r="G187" s="238" t="n">
        <f aca="false">(C187*D187)-F187</f>
        <v>257.85</v>
      </c>
      <c r="H187" s="239"/>
    </row>
    <row r="188" s="229" customFormat="true" ht="15" hidden="false" customHeight="true" outlineLevel="0" collapsed="false">
      <c r="A188" s="180"/>
      <c r="B188" s="189" t="s">
        <v>102</v>
      </c>
      <c r="C188" s="237" t="n">
        <f aca="false">9*5</f>
        <v>45</v>
      </c>
      <c r="D188" s="237" t="n">
        <v>5.73</v>
      </c>
      <c r="E188" s="200"/>
      <c r="F188" s="200"/>
      <c r="G188" s="238" t="n">
        <f aca="false">(C188*D188)-F188</f>
        <v>257.85</v>
      </c>
      <c r="H188" s="239"/>
    </row>
    <row r="189" s="229" customFormat="true" ht="15" hidden="false" customHeight="true" outlineLevel="0" collapsed="false">
      <c r="A189" s="180"/>
      <c r="B189" s="189" t="s">
        <v>103</v>
      </c>
      <c r="C189" s="237" t="n">
        <f aca="false">9*5</f>
        <v>45</v>
      </c>
      <c r="D189" s="237" t="n">
        <v>5.73</v>
      </c>
      <c r="E189" s="200"/>
      <c r="F189" s="200"/>
      <c r="G189" s="238" t="n">
        <f aca="false">(C189*D189)-F189</f>
        <v>257.85</v>
      </c>
      <c r="H189" s="239"/>
    </row>
    <row r="190" s="229" customFormat="true" ht="15" hidden="false" customHeight="true" outlineLevel="0" collapsed="false">
      <c r="A190" s="180"/>
      <c r="B190" s="189" t="s">
        <v>104</v>
      </c>
      <c r="C190" s="237" t="n">
        <f aca="false">9*5</f>
        <v>45</v>
      </c>
      <c r="D190" s="237" t="n">
        <v>5.48</v>
      </c>
      <c r="E190" s="200"/>
      <c r="F190" s="200"/>
      <c r="G190" s="238" t="n">
        <f aca="false">(C190*D190)-F190</f>
        <v>246.6</v>
      </c>
      <c r="H190" s="239"/>
    </row>
    <row r="191" s="229" customFormat="true" ht="15" hidden="false" customHeight="true" outlineLevel="0" collapsed="false">
      <c r="A191" s="180"/>
      <c r="B191" s="189" t="s">
        <v>105</v>
      </c>
      <c r="C191" s="237" t="n">
        <f aca="false">9*5</f>
        <v>45</v>
      </c>
      <c r="D191" s="237" t="n">
        <v>5.48</v>
      </c>
      <c r="E191" s="200"/>
      <c r="F191" s="200"/>
      <c r="G191" s="238" t="n">
        <f aca="false">(C191*D191)-F191</f>
        <v>246.6</v>
      </c>
      <c r="H191" s="239"/>
    </row>
    <row r="192" s="229" customFormat="true" ht="15" hidden="false" customHeight="true" outlineLevel="0" collapsed="false">
      <c r="A192" s="180"/>
      <c r="B192" s="189" t="s">
        <v>106</v>
      </c>
      <c r="C192" s="237" t="n">
        <f aca="false">9*5</f>
        <v>45</v>
      </c>
      <c r="D192" s="237" t="n">
        <v>5.48</v>
      </c>
      <c r="E192" s="200"/>
      <c r="F192" s="200"/>
      <c r="G192" s="238" t="n">
        <f aca="false">(C192*D192)-F192</f>
        <v>246.6</v>
      </c>
      <c r="H192" s="239"/>
    </row>
    <row r="193" s="229" customFormat="true" ht="15" hidden="false" customHeight="true" outlineLevel="0" collapsed="false">
      <c r="A193" s="180"/>
      <c r="B193" s="189" t="s">
        <v>166</v>
      </c>
      <c r="C193" s="237" t="n">
        <f aca="false">4*4</f>
        <v>16</v>
      </c>
      <c r="D193" s="237" t="n">
        <v>6.5</v>
      </c>
      <c r="E193" s="200"/>
      <c r="F193" s="200"/>
      <c r="G193" s="238" t="n">
        <f aca="false">(C193*D193)-F193</f>
        <v>104</v>
      </c>
      <c r="H193" s="239"/>
    </row>
    <row r="194" s="229" customFormat="true" ht="15" hidden="false" customHeight="false" outlineLevel="0" collapsed="false">
      <c r="A194" s="180"/>
      <c r="B194" s="189" t="s">
        <v>167</v>
      </c>
      <c r="C194" s="203" t="n">
        <f aca="false">2*5</f>
        <v>10</v>
      </c>
      <c r="D194" s="203" t="n">
        <v>1.5</v>
      </c>
      <c r="E194" s="191"/>
      <c r="F194" s="191"/>
      <c r="G194" s="240" t="n">
        <f aca="false">(C194*D194)-F194</f>
        <v>15</v>
      </c>
    </row>
    <row r="195" s="229" customFormat="true" ht="15" hidden="false" customHeight="true" outlineLevel="0" collapsed="false">
      <c r="A195" s="180"/>
      <c r="B195" s="228" t="s">
        <v>168</v>
      </c>
      <c r="C195" s="228"/>
      <c r="D195" s="228"/>
      <c r="E195" s="228"/>
      <c r="F195" s="228"/>
      <c r="G195" s="228"/>
    </row>
    <row r="196" s="229" customFormat="true" ht="15" hidden="false" customHeight="true" outlineLevel="0" collapsed="false">
      <c r="A196" s="180"/>
      <c r="B196" s="189" t="s">
        <v>101</v>
      </c>
      <c r="C196" s="237" t="n">
        <f aca="false">9*5</f>
        <v>45</v>
      </c>
      <c r="D196" s="237" t="n">
        <v>5.48</v>
      </c>
      <c r="E196" s="200"/>
      <c r="F196" s="200"/>
      <c r="G196" s="238" t="n">
        <f aca="false">(C196*D196)-F196</f>
        <v>246.6</v>
      </c>
      <c r="H196" s="239"/>
    </row>
    <row r="197" s="229" customFormat="true" ht="15" hidden="false" customHeight="true" outlineLevel="0" collapsed="false">
      <c r="A197" s="180"/>
      <c r="B197" s="189" t="s">
        <v>102</v>
      </c>
      <c r="C197" s="237" t="n">
        <f aca="false">9*5</f>
        <v>45</v>
      </c>
      <c r="D197" s="237" t="n">
        <v>5.46</v>
      </c>
      <c r="E197" s="200"/>
      <c r="F197" s="200"/>
      <c r="G197" s="238" t="n">
        <f aca="false">(C197*D197)-F197</f>
        <v>245.7</v>
      </c>
      <c r="H197" s="239"/>
    </row>
    <row r="198" s="229" customFormat="true" ht="15" hidden="false" customHeight="true" outlineLevel="0" collapsed="false">
      <c r="A198" s="180"/>
      <c r="B198" s="189" t="s">
        <v>103</v>
      </c>
      <c r="C198" s="237" t="n">
        <f aca="false">9*5</f>
        <v>45</v>
      </c>
      <c r="D198" s="237" t="n">
        <v>5.86</v>
      </c>
      <c r="E198" s="200"/>
      <c r="F198" s="200"/>
      <c r="G198" s="238" t="n">
        <f aca="false">(C198*D198)-F198</f>
        <v>263.7</v>
      </c>
      <c r="H198" s="239"/>
    </row>
    <row r="199" s="229" customFormat="true" ht="15" hidden="false" customHeight="true" outlineLevel="0" collapsed="false">
      <c r="A199" s="180"/>
      <c r="B199" s="189" t="s">
        <v>104</v>
      </c>
      <c r="C199" s="237" t="n">
        <f aca="false">9*5</f>
        <v>45</v>
      </c>
      <c r="D199" s="237" t="n">
        <v>5.48</v>
      </c>
      <c r="E199" s="200"/>
      <c r="F199" s="200"/>
      <c r="G199" s="238" t="n">
        <f aca="false">(C199*D199)-F199</f>
        <v>246.6</v>
      </c>
      <c r="H199" s="239"/>
    </row>
    <row r="200" s="229" customFormat="true" ht="15" hidden="false" customHeight="true" outlineLevel="0" collapsed="false">
      <c r="A200" s="180"/>
      <c r="B200" s="189" t="s">
        <v>105</v>
      </c>
      <c r="C200" s="237" t="n">
        <f aca="false">9*5</f>
        <v>45</v>
      </c>
      <c r="D200" s="237" t="n">
        <v>5.46</v>
      </c>
      <c r="E200" s="200"/>
      <c r="F200" s="200"/>
      <c r="G200" s="238" t="n">
        <f aca="false">(C200*D200)-F200</f>
        <v>245.7</v>
      </c>
      <c r="H200" s="239"/>
    </row>
    <row r="201" s="229" customFormat="true" ht="15" hidden="false" customHeight="true" outlineLevel="0" collapsed="false">
      <c r="A201" s="180"/>
      <c r="B201" s="189" t="s">
        <v>106</v>
      </c>
      <c r="C201" s="237" t="n">
        <f aca="false">9*5</f>
        <v>45</v>
      </c>
      <c r="D201" s="237" t="n">
        <v>5.86</v>
      </c>
      <c r="E201" s="200"/>
      <c r="F201" s="200"/>
      <c r="G201" s="238" t="n">
        <f aca="false">(C201*D201)-F201</f>
        <v>263.7</v>
      </c>
      <c r="H201" s="239"/>
    </row>
    <row r="202" s="229" customFormat="true" ht="15" hidden="false" customHeight="true" outlineLevel="0" collapsed="false">
      <c r="A202" s="180"/>
      <c r="B202" s="189" t="s">
        <v>166</v>
      </c>
      <c r="C202" s="237" t="n">
        <f aca="false">10*4</f>
        <v>40</v>
      </c>
      <c r="D202" s="237" t="n">
        <v>2.9</v>
      </c>
      <c r="E202" s="200"/>
      <c r="F202" s="200"/>
      <c r="G202" s="238" t="n">
        <f aca="false">(C202*D202)-F202</f>
        <v>116</v>
      </c>
      <c r="H202" s="239"/>
    </row>
    <row r="203" s="229" customFormat="true" ht="15" hidden="false" customHeight="false" outlineLevel="0" collapsed="false">
      <c r="A203" s="180"/>
      <c r="B203" s="189" t="s">
        <v>167</v>
      </c>
      <c r="C203" s="203" t="n">
        <f aca="false">2*5</f>
        <v>10</v>
      </c>
      <c r="D203" s="203" t="n">
        <v>1.5</v>
      </c>
      <c r="E203" s="191"/>
      <c r="F203" s="191"/>
      <c r="G203" s="240" t="n">
        <f aca="false">(C203*D203)-F203</f>
        <v>15</v>
      </c>
    </row>
    <row r="204" s="229" customFormat="true" ht="15" hidden="false" customHeight="false" outlineLevel="0" collapsed="false">
      <c r="A204" s="180"/>
      <c r="B204" s="228" t="s">
        <v>161</v>
      </c>
      <c r="C204" s="228"/>
      <c r="D204" s="228"/>
      <c r="E204" s="228"/>
      <c r="F204" s="228"/>
      <c r="G204" s="228"/>
      <c r="H204" s="172"/>
      <c r="I204" s="172"/>
    </row>
    <row r="205" s="210" customFormat="true" ht="15" hidden="false" customHeight="false" outlineLevel="0" collapsed="false">
      <c r="A205" s="180"/>
      <c r="B205" s="227" t="s">
        <v>169</v>
      </c>
      <c r="C205" s="203" t="n">
        <v>5</v>
      </c>
      <c r="D205" s="203" t="n">
        <v>5.43</v>
      </c>
      <c r="E205" s="191"/>
      <c r="F205" s="208"/>
      <c r="G205" s="192" t="n">
        <f aca="false">C205*D205</f>
        <v>27.15</v>
      </c>
      <c r="H205" s="210" t="n">
        <f aca="false">D205/0.15</f>
        <v>36.2</v>
      </c>
      <c r="I205" s="172"/>
    </row>
    <row r="206" s="210" customFormat="true" ht="15" hidden="false" customHeight="false" outlineLevel="0" collapsed="false">
      <c r="A206" s="180"/>
      <c r="B206" s="227" t="s">
        <v>170</v>
      </c>
      <c r="C206" s="203" t="n">
        <v>37</v>
      </c>
      <c r="D206" s="203" t="n">
        <v>0.52</v>
      </c>
      <c r="E206" s="191"/>
      <c r="F206" s="208"/>
      <c r="G206" s="192" t="n">
        <f aca="false">C206*D206</f>
        <v>19.24</v>
      </c>
      <c r="I206" s="172"/>
    </row>
    <row r="207" s="210" customFormat="true" ht="15" hidden="false" customHeight="false" outlineLevel="0" collapsed="false">
      <c r="A207" s="180"/>
      <c r="B207" s="227" t="s">
        <v>171</v>
      </c>
      <c r="C207" s="203" t="n">
        <v>5</v>
      </c>
      <c r="D207" s="203" t="n">
        <v>5.28</v>
      </c>
      <c r="E207" s="191"/>
      <c r="F207" s="208"/>
      <c r="G207" s="192" t="n">
        <f aca="false">C207*D207</f>
        <v>26.4</v>
      </c>
      <c r="H207" s="210" t="n">
        <f aca="false">D207/0.15</f>
        <v>35.2</v>
      </c>
      <c r="I207" s="172"/>
    </row>
    <row r="208" s="210" customFormat="true" ht="15" hidden="false" customHeight="false" outlineLevel="0" collapsed="false">
      <c r="A208" s="180"/>
      <c r="B208" s="227" t="s">
        <v>172</v>
      </c>
      <c r="C208" s="203" t="n">
        <v>36</v>
      </c>
      <c r="D208" s="203" t="n">
        <v>0.61</v>
      </c>
      <c r="E208" s="191"/>
      <c r="F208" s="208"/>
      <c r="G208" s="192" t="n">
        <f aca="false">C208*D208</f>
        <v>21.96</v>
      </c>
      <c r="I208" s="172"/>
    </row>
    <row r="209" s="210" customFormat="true" ht="15" hidden="false" customHeight="false" outlineLevel="0" collapsed="false">
      <c r="A209" s="180"/>
      <c r="B209" s="227" t="s">
        <v>173</v>
      </c>
      <c r="C209" s="203" t="n">
        <v>7</v>
      </c>
      <c r="D209" s="203" t="n">
        <v>5.66</v>
      </c>
      <c r="E209" s="191"/>
      <c r="F209" s="208"/>
      <c r="G209" s="192" t="n">
        <f aca="false">C209*D209</f>
        <v>39.62</v>
      </c>
      <c r="I209" s="172"/>
    </row>
    <row r="210" s="210" customFormat="true" ht="15" hidden="false" customHeight="false" outlineLevel="0" collapsed="false">
      <c r="A210" s="180"/>
      <c r="B210" s="227" t="s">
        <v>174</v>
      </c>
      <c r="C210" s="241" t="n">
        <v>38</v>
      </c>
      <c r="D210" s="241" t="n">
        <v>0.92</v>
      </c>
      <c r="E210" s="242"/>
      <c r="F210" s="208"/>
      <c r="G210" s="192" t="n">
        <f aca="false">C210*D210</f>
        <v>34.96</v>
      </c>
      <c r="H210" s="210" t="n">
        <f aca="false">D209/0.15</f>
        <v>37.7333333333333</v>
      </c>
      <c r="I210" s="172"/>
    </row>
    <row r="211" s="172" customFormat="true" ht="15.75" hidden="false" customHeight="false" outlineLevel="0" collapsed="false">
      <c r="A211" s="180"/>
      <c r="B211" s="193" t="s">
        <v>175</v>
      </c>
      <c r="C211" s="193"/>
      <c r="D211" s="193"/>
      <c r="E211" s="193"/>
      <c r="F211" s="193"/>
      <c r="G211" s="194" t="n">
        <f aca="false">SUM(G187:G210)</f>
        <v>3444.68</v>
      </c>
      <c r="H211" s="229"/>
      <c r="I211" s="229"/>
      <c r="J211" s="229"/>
      <c r="K211" s="229"/>
      <c r="L211" s="229"/>
      <c r="M211" s="229"/>
    </row>
    <row r="212" s="168" customFormat="true" ht="15" hidden="false" customHeight="false" outlineLevel="0" collapsed="false">
      <c r="A212" s="243"/>
      <c r="B212" s="244"/>
      <c r="F212" s="197"/>
      <c r="H212" s="229"/>
      <c r="I212" s="229"/>
      <c r="J212" s="229"/>
      <c r="K212" s="229"/>
      <c r="L212" s="229"/>
      <c r="M212" s="229"/>
    </row>
    <row r="213" s="168" customFormat="true" ht="15" hidden="false" customHeight="false" outlineLevel="0" collapsed="false">
      <c r="A213" s="180" t="s">
        <v>42</v>
      </c>
      <c r="B213" s="218" t="str">
        <f aca="false">'Composições '!C123</f>
        <v>Limpeza em superficie de concreto com jateamento d'água sob pressão</v>
      </c>
      <c r="F213" s="196"/>
      <c r="H213" s="210"/>
    </row>
    <row r="214" s="168" customFormat="true" ht="15.75" hidden="false" customHeight="false" outlineLevel="0" collapsed="false">
      <c r="A214" s="180"/>
      <c r="B214" s="245"/>
      <c r="F214" s="246"/>
      <c r="H214" s="210"/>
    </row>
    <row r="215" s="229" customFormat="true" ht="15" hidden="false" customHeight="false" outlineLevel="0" collapsed="false">
      <c r="A215" s="180"/>
      <c r="B215" s="185" t="s">
        <v>91</v>
      </c>
      <c r="C215" s="215" t="s">
        <v>109</v>
      </c>
      <c r="D215" s="215" t="s">
        <v>94</v>
      </c>
      <c r="E215" s="187" t="s">
        <v>110</v>
      </c>
      <c r="F215" s="187" t="s">
        <v>93</v>
      </c>
      <c r="G215" s="236" t="s">
        <v>176</v>
      </c>
      <c r="H215" s="210"/>
    </row>
    <row r="216" s="229" customFormat="true" ht="15" hidden="false" customHeight="false" outlineLevel="0" collapsed="false">
      <c r="A216" s="180"/>
      <c r="B216" s="228" t="s">
        <v>145</v>
      </c>
      <c r="C216" s="228"/>
      <c r="D216" s="228"/>
      <c r="E216" s="228"/>
      <c r="F216" s="228"/>
      <c r="G216" s="228"/>
      <c r="H216" s="210"/>
    </row>
    <row r="217" s="210" customFormat="true" ht="15" hidden="false" customHeight="false" outlineLevel="0" collapsed="false">
      <c r="A217" s="180"/>
      <c r="B217" s="216" t="s">
        <v>153</v>
      </c>
      <c r="C217" s="199" t="n">
        <v>8</v>
      </c>
      <c r="D217" s="199" t="n">
        <v>5.73</v>
      </c>
      <c r="E217" s="200" t="n">
        <v>0.1</v>
      </c>
      <c r="F217" s="200"/>
      <c r="G217" s="192" t="n">
        <f aca="false">C217*D217*E217</f>
        <v>4.584</v>
      </c>
      <c r="H217" s="172"/>
      <c r="I217" s="172"/>
    </row>
    <row r="218" s="210" customFormat="true" ht="15" hidden="false" customHeight="false" outlineLevel="0" collapsed="false">
      <c r="A218" s="180"/>
      <c r="B218" s="216"/>
      <c r="C218" s="199" t="n">
        <v>1</v>
      </c>
      <c r="D218" s="199" t="n">
        <v>5.73</v>
      </c>
      <c r="E218" s="200" t="n">
        <v>0.18</v>
      </c>
      <c r="F218" s="200"/>
      <c r="G218" s="192" t="n">
        <f aca="false">C218*D218*E218</f>
        <v>1.0314</v>
      </c>
      <c r="H218" s="172"/>
      <c r="I218" s="172"/>
    </row>
    <row r="219" s="210" customFormat="true" ht="15" hidden="false" customHeight="false" outlineLevel="0" collapsed="false">
      <c r="A219" s="180"/>
      <c r="B219" s="216"/>
      <c r="C219" s="199" t="n">
        <f aca="false">9*9</f>
        <v>81</v>
      </c>
      <c r="D219" s="199" t="n">
        <v>0.5</v>
      </c>
      <c r="E219" s="200" t="n">
        <v>0.1</v>
      </c>
      <c r="F219" s="200"/>
      <c r="G219" s="192" t="n">
        <f aca="false">C219*D219*E219</f>
        <v>4.05</v>
      </c>
      <c r="H219" s="172"/>
      <c r="I219" s="172"/>
    </row>
    <row r="220" s="210" customFormat="true" ht="15" hidden="false" customHeight="false" outlineLevel="0" collapsed="false">
      <c r="A220" s="180"/>
      <c r="B220" s="216" t="s">
        <v>154</v>
      </c>
      <c r="C220" s="199" t="n">
        <v>8</v>
      </c>
      <c r="D220" s="199" t="n">
        <v>5.73</v>
      </c>
      <c r="E220" s="200" t="n">
        <v>0.1</v>
      </c>
      <c r="F220" s="200"/>
      <c r="G220" s="192" t="n">
        <f aca="false">C220*D220*E220</f>
        <v>4.584</v>
      </c>
      <c r="H220" s="172"/>
      <c r="I220" s="172"/>
    </row>
    <row r="221" s="210" customFormat="true" ht="15" hidden="false" customHeight="false" outlineLevel="0" collapsed="false">
      <c r="A221" s="180"/>
      <c r="B221" s="216"/>
      <c r="C221" s="199" t="n">
        <v>1</v>
      </c>
      <c r="D221" s="199" t="n">
        <v>5.73</v>
      </c>
      <c r="E221" s="200" t="n">
        <v>0.16</v>
      </c>
      <c r="F221" s="200"/>
      <c r="G221" s="192" t="n">
        <f aca="false">C221*D221*E221</f>
        <v>0.9168</v>
      </c>
      <c r="H221" s="172"/>
      <c r="I221" s="172"/>
    </row>
    <row r="222" s="210" customFormat="true" ht="15" hidden="false" customHeight="false" outlineLevel="0" collapsed="false">
      <c r="A222" s="180"/>
      <c r="B222" s="216"/>
      <c r="C222" s="199" t="n">
        <f aca="false">9*9</f>
        <v>81</v>
      </c>
      <c r="D222" s="199" t="n">
        <v>0.5</v>
      </c>
      <c r="E222" s="200" t="n">
        <v>0.1</v>
      </c>
      <c r="F222" s="200"/>
      <c r="G222" s="192" t="n">
        <f aca="false">C222*D222*E222</f>
        <v>4.05</v>
      </c>
      <c r="H222" s="172"/>
      <c r="I222" s="172"/>
    </row>
    <row r="223" s="210" customFormat="true" ht="15" hidden="false" customHeight="false" outlineLevel="0" collapsed="false">
      <c r="A223" s="180"/>
      <c r="B223" s="216" t="s">
        <v>155</v>
      </c>
      <c r="C223" s="199" t="n">
        <v>9</v>
      </c>
      <c r="D223" s="199" t="n">
        <v>5.73</v>
      </c>
      <c r="E223" s="200" t="n">
        <v>0.1</v>
      </c>
      <c r="F223" s="200"/>
      <c r="G223" s="192" t="n">
        <f aca="false">C223*D223*E223</f>
        <v>5.157</v>
      </c>
      <c r="H223" s="226"/>
      <c r="I223" s="211"/>
    </row>
    <row r="224" s="210" customFormat="true" ht="15" hidden="false" customHeight="false" outlineLevel="0" collapsed="false">
      <c r="A224" s="180"/>
      <c r="B224" s="216"/>
      <c r="C224" s="199" t="n">
        <f aca="false">8*9</f>
        <v>72</v>
      </c>
      <c r="D224" s="199" t="n">
        <v>0.5</v>
      </c>
      <c r="E224" s="200" t="n">
        <v>0.1</v>
      </c>
      <c r="F224" s="200"/>
      <c r="G224" s="192" t="n">
        <f aca="false">C224*D224*E224</f>
        <v>3.6</v>
      </c>
      <c r="H224" s="226"/>
      <c r="I224" s="211"/>
    </row>
    <row r="225" s="210" customFormat="true" ht="15" hidden="false" customHeight="false" outlineLevel="0" collapsed="false">
      <c r="A225" s="180"/>
      <c r="B225" s="216"/>
      <c r="C225" s="199" t="n">
        <f aca="false">2*9</f>
        <v>18</v>
      </c>
      <c r="D225" s="199" t="n">
        <v>0.48</v>
      </c>
      <c r="E225" s="200" t="n">
        <v>0.1</v>
      </c>
      <c r="F225" s="200"/>
      <c r="G225" s="192" t="n">
        <f aca="false">C225*D225*E225</f>
        <v>0.864</v>
      </c>
      <c r="H225" s="226"/>
      <c r="I225" s="211"/>
    </row>
    <row r="226" s="210" customFormat="true" ht="15" hidden="false" customHeight="false" outlineLevel="0" collapsed="false">
      <c r="A226" s="180"/>
      <c r="B226" s="216" t="s">
        <v>156</v>
      </c>
      <c r="C226" s="199" t="n">
        <v>8</v>
      </c>
      <c r="D226" s="199" t="n">
        <v>5.48</v>
      </c>
      <c r="E226" s="200" t="n">
        <v>0.1</v>
      </c>
      <c r="F226" s="200"/>
      <c r="G226" s="192" t="n">
        <f aca="false">C226*D226*E226</f>
        <v>4.384</v>
      </c>
      <c r="H226" s="226"/>
      <c r="I226" s="211"/>
    </row>
    <row r="227" s="210" customFormat="true" ht="15" hidden="false" customHeight="false" outlineLevel="0" collapsed="false">
      <c r="A227" s="180"/>
      <c r="B227" s="216"/>
      <c r="C227" s="199" t="n">
        <v>1</v>
      </c>
      <c r="D227" s="199" t="n">
        <v>5.48</v>
      </c>
      <c r="E227" s="200" t="n">
        <v>0.18</v>
      </c>
      <c r="F227" s="200"/>
      <c r="G227" s="192" t="n">
        <f aca="false">C227*D227*E227</f>
        <v>0.9864</v>
      </c>
      <c r="H227" s="226"/>
      <c r="I227" s="211"/>
    </row>
    <row r="228" s="210" customFormat="true" ht="15" hidden="false" customHeight="false" outlineLevel="0" collapsed="false">
      <c r="A228" s="180"/>
      <c r="B228" s="216"/>
      <c r="C228" s="199" t="n">
        <f aca="false">8*9</f>
        <v>72</v>
      </c>
      <c r="D228" s="199" t="n">
        <v>0.5</v>
      </c>
      <c r="E228" s="200" t="n">
        <v>0.1</v>
      </c>
      <c r="F228" s="200"/>
      <c r="G228" s="192" t="n">
        <f aca="false">C228*D228*E228</f>
        <v>3.6</v>
      </c>
      <c r="H228" s="226"/>
      <c r="I228" s="211"/>
    </row>
    <row r="229" s="210" customFormat="true" ht="15" hidden="false" customHeight="false" outlineLevel="0" collapsed="false">
      <c r="A229" s="180"/>
      <c r="B229" s="216"/>
      <c r="C229" s="199" t="n">
        <f aca="false">1*9</f>
        <v>9</v>
      </c>
      <c r="D229" s="199" t="n">
        <v>0.5</v>
      </c>
      <c r="E229" s="200" t="n">
        <v>0.18</v>
      </c>
      <c r="F229" s="200"/>
      <c r="G229" s="192" t="n">
        <f aca="false">C229*D229*E229</f>
        <v>0.81</v>
      </c>
      <c r="H229" s="226"/>
      <c r="I229" s="211"/>
    </row>
    <row r="230" s="210" customFormat="true" ht="15" hidden="false" customHeight="false" outlineLevel="0" collapsed="false">
      <c r="A230" s="180"/>
      <c r="B230" s="216" t="s">
        <v>157</v>
      </c>
      <c r="C230" s="203" t="n">
        <v>8</v>
      </c>
      <c r="D230" s="203" t="n">
        <v>5.48</v>
      </c>
      <c r="E230" s="191" t="n">
        <v>0.1</v>
      </c>
      <c r="F230" s="191"/>
      <c r="G230" s="192" t="n">
        <f aca="false">C230*D230*E230</f>
        <v>4.384</v>
      </c>
      <c r="H230" s="172"/>
      <c r="I230" s="172"/>
    </row>
    <row r="231" s="210" customFormat="true" ht="15" hidden="false" customHeight="false" outlineLevel="0" collapsed="false">
      <c r="A231" s="180"/>
      <c r="B231" s="216"/>
      <c r="C231" s="203" t="n">
        <v>1</v>
      </c>
      <c r="D231" s="203" t="n">
        <v>5.48</v>
      </c>
      <c r="E231" s="191" t="n">
        <v>0.16</v>
      </c>
      <c r="F231" s="212"/>
      <c r="G231" s="192" t="n">
        <f aca="false">C231*D231*E231</f>
        <v>0.8768</v>
      </c>
      <c r="H231" s="172"/>
      <c r="I231" s="172"/>
    </row>
    <row r="232" s="210" customFormat="true" ht="15" hidden="false" customHeight="false" outlineLevel="0" collapsed="false">
      <c r="A232" s="180"/>
      <c r="B232" s="216"/>
      <c r="C232" s="203" t="n">
        <f aca="false">8*9</f>
        <v>72</v>
      </c>
      <c r="D232" s="203" t="n">
        <v>0.5</v>
      </c>
      <c r="E232" s="191" t="n">
        <v>0.1</v>
      </c>
      <c r="F232" s="212"/>
      <c r="G232" s="192" t="n">
        <f aca="false">C232*D232*E232</f>
        <v>3.6</v>
      </c>
      <c r="H232" s="172"/>
      <c r="I232" s="172"/>
    </row>
    <row r="233" s="210" customFormat="true" ht="15" hidden="false" customHeight="false" outlineLevel="0" collapsed="false">
      <c r="A233" s="180"/>
      <c r="B233" s="216"/>
      <c r="C233" s="203" t="n">
        <f aca="false">1*9</f>
        <v>9</v>
      </c>
      <c r="D233" s="203" t="n">
        <v>0.5</v>
      </c>
      <c r="E233" s="191" t="n">
        <v>0.18</v>
      </c>
      <c r="F233" s="212"/>
      <c r="G233" s="192" t="n">
        <f aca="false">C233*D233*E233</f>
        <v>0.81</v>
      </c>
      <c r="H233" s="172"/>
      <c r="I233" s="172"/>
    </row>
    <row r="234" s="210" customFormat="true" ht="15" hidden="false" customHeight="false" outlineLevel="0" collapsed="false">
      <c r="A234" s="180"/>
      <c r="B234" s="216" t="s">
        <v>158</v>
      </c>
      <c r="C234" s="203" t="n">
        <v>9</v>
      </c>
      <c r="D234" s="203" t="n">
        <v>5.48</v>
      </c>
      <c r="E234" s="191" t="n">
        <v>0.1</v>
      </c>
      <c r="F234" s="212"/>
      <c r="G234" s="192" t="n">
        <f aca="false">C234*D234*E234</f>
        <v>4.932</v>
      </c>
      <c r="H234" s="172"/>
      <c r="I234" s="172"/>
    </row>
    <row r="235" s="210" customFormat="true" ht="15" hidden="false" customHeight="false" outlineLevel="0" collapsed="false">
      <c r="A235" s="180"/>
      <c r="B235" s="216"/>
      <c r="C235" s="203" t="n">
        <f aca="false">8*8</f>
        <v>64</v>
      </c>
      <c r="D235" s="203" t="n">
        <v>0.5</v>
      </c>
      <c r="E235" s="191" t="n">
        <v>0.1</v>
      </c>
      <c r="F235" s="212"/>
      <c r="G235" s="192" t="n">
        <f aca="false">C235*D235*E235</f>
        <v>3.2</v>
      </c>
      <c r="H235" s="172"/>
      <c r="I235" s="172"/>
    </row>
    <row r="236" s="210" customFormat="true" ht="15" hidden="false" customHeight="false" outlineLevel="0" collapsed="false">
      <c r="A236" s="180"/>
      <c r="B236" s="216"/>
      <c r="C236" s="203" t="n">
        <f aca="false">2*8</f>
        <v>16</v>
      </c>
      <c r="D236" s="203" t="n">
        <v>0.48</v>
      </c>
      <c r="E236" s="191" t="n">
        <v>0.1</v>
      </c>
      <c r="F236" s="212"/>
      <c r="G236" s="192" t="n">
        <f aca="false">C236*D236*E236</f>
        <v>0.768</v>
      </c>
      <c r="H236" s="172"/>
      <c r="I236" s="172"/>
    </row>
    <row r="237" s="210" customFormat="true" ht="15" hidden="false" customHeight="false" outlineLevel="0" collapsed="false">
      <c r="A237" s="180"/>
      <c r="B237" s="216"/>
      <c r="C237" s="203" t="n">
        <v>8</v>
      </c>
      <c r="D237" s="203" t="n">
        <v>0.5</v>
      </c>
      <c r="E237" s="191" t="n">
        <v>0.18</v>
      </c>
      <c r="F237" s="191"/>
      <c r="G237" s="192" t="n">
        <f aca="false">C237*D237*E237</f>
        <v>0.72</v>
      </c>
      <c r="H237" s="172"/>
      <c r="I237" s="172"/>
    </row>
    <row r="238" s="210" customFormat="true" ht="15" hidden="false" customHeight="false" outlineLevel="0" collapsed="false">
      <c r="A238" s="180"/>
      <c r="B238" s="216"/>
      <c r="C238" s="203" t="n">
        <v>2</v>
      </c>
      <c r="D238" s="203" t="n">
        <v>0.48</v>
      </c>
      <c r="E238" s="191" t="n">
        <v>0.18</v>
      </c>
      <c r="F238" s="205"/>
      <c r="G238" s="192" t="n">
        <f aca="false">C238*D238*E238</f>
        <v>0.1728</v>
      </c>
      <c r="H238" s="172"/>
      <c r="I238" s="172"/>
    </row>
    <row r="239" s="210" customFormat="true" ht="15" hidden="false" customHeight="false" outlineLevel="0" collapsed="false">
      <c r="A239" s="180"/>
      <c r="B239" s="216" t="s">
        <v>159</v>
      </c>
      <c r="C239" s="203" t="n">
        <v>4</v>
      </c>
      <c r="D239" s="203" t="n">
        <v>6.5</v>
      </c>
      <c r="E239" s="191" t="n">
        <v>0.1</v>
      </c>
      <c r="F239" s="205"/>
      <c r="G239" s="192" t="n">
        <f aca="false">C239*D239*E239</f>
        <v>2.6</v>
      </c>
      <c r="H239" s="172"/>
      <c r="I239" s="172"/>
    </row>
    <row r="240" s="210" customFormat="true" ht="15" hidden="false" customHeight="false" outlineLevel="0" collapsed="false">
      <c r="A240" s="180"/>
      <c r="B240" s="216"/>
      <c r="C240" s="203" t="n">
        <f aca="false">5*10</f>
        <v>50</v>
      </c>
      <c r="D240" s="203" t="n">
        <v>0.5</v>
      </c>
      <c r="E240" s="191" t="n">
        <v>0.1</v>
      </c>
      <c r="F240" s="205"/>
      <c r="G240" s="192" t="n">
        <f aca="false">C240*D240*E240</f>
        <v>2.5</v>
      </c>
      <c r="H240" s="172"/>
      <c r="I240" s="172"/>
    </row>
    <row r="241" s="210" customFormat="true" ht="15" hidden="false" customHeight="false" outlineLevel="0" collapsed="false">
      <c r="A241" s="180"/>
      <c r="B241" s="216" t="s">
        <v>160</v>
      </c>
      <c r="C241" s="203" t="n">
        <v>2</v>
      </c>
      <c r="D241" s="203" t="n">
        <v>1.5</v>
      </c>
      <c r="E241" s="191" t="n">
        <v>0.1</v>
      </c>
      <c r="F241" s="191"/>
      <c r="G241" s="192" t="n">
        <f aca="false">C241*D241*E241</f>
        <v>0.3</v>
      </c>
      <c r="H241" s="172"/>
      <c r="I241" s="172"/>
    </row>
    <row r="242" s="210" customFormat="true" ht="15" hidden="false" customHeight="false" outlineLevel="0" collapsed="false">
      <c r="A242" s="180"/>
      <c r="B242" s="216"/>
      <c r="C242" s="203" t="n">
        <f aca="false">2*2</f>
        <v>4</v>
      </c>
      <c r="D242" s="203" t="n">
        <v>0.5</v>
      </c>
      <c r="E242" s="191" t="n">
        <v>0.1</v>
      </c>
      <c r="F242" s="212"/>
      <c r="G242" s="192" t="n">
        <f aca="false">C242*D242*E242</f>
        <v>0.2</v>
      </c>
      <c r="H242" s="172"/>
      <c r="I242" s="172"/>
    </row>
    <row r="243" s="210" customFormat="true" ht="15" hidden="false" customHeight="false" outlineLevel="0" collapsed="false">
      <c r="A243" s="180"/>
      <c r="B243" s="216"/>
      <c r="C243" s="203" t="n">
        <f aca="false">1*2</f>
        <v>2</v>
      </c>
      <c r="D243" s="203" t="n">
        <v>0.3</v>
      </c>
      <c r="E243" s="191" t="n">
        <v>0.1</v>
      </c>
      <c r="F243" s="191"/>
      <c r="G243" s="192" t="n">
        <f aca="false">C243*D243*E243</f>
        <v>0.06</v>
      </c>
      <c r="H243" s="172"/>
      <c r="I243" s="172"/>
    </row>
    <row r="244" s="210" customFormat="true" ht="15" hidden="false" customHeight="false" outlineLevel="0" collapsed="false">
      <c r="A244" s="180"/>
      <c r="B244" s="216" t="s">
        <v>146</v>
      </c>
      <c r="C244" s="199" t="n">
        <f aca="false">90-9</f>
        <v>81</v>
      </c>
      <c r="D244" s="199" t="n">
        <v>0.5</v>
      </c>
      <c r="E244" s="200" t="n">
        <v>0.5</v>
      </c>
      <c r="F244" s="230" t="n">
        <v>0.185</v>
      </c>
      <c r="G244" s="192" t="n">
        <f aca="false">((D244+E244)*2*F244*C244)+(C244*D244*E244)</f>
        <v>50.22</v>
      </c>
      <c r="H244" s="226"/>
      <c r="I244" s="211"/>
    </row>
    <row r="245" s="210" customFormat="true" ht="15" hidden="false" customHeight="false" outlineLevel="0" collapsed="false">
      <c r="A245" s="180"/>
      <c r="B245" s="216"/>
      <c r="C245" s="199" t="n">
        <v>9</v>
      </c>
      <c r="D245" s="199" t="n">
        <v>0.33</v>
      </c>
      <c r="E245" s="200" t="n">
        <v>0.5</v>
      </c>
      <c r="F245" s="230" t="n">
        <v>0.185</v>
      </c>
      <c r="G245" s="192" t="n">
        <f aca="false">(((D245+E245)*2)*F245*C245)+(C245*D245*E245)</f>
        <v>4.2489</v>
      </c>
      <c r="H245" s="226"/>
      <c r="I245" s="211"/>
    </row>
    <row r="246" s="210" customFormat="true" ht="15" hidden="false" customHeight="false" outlineLevel="0" collapsed="false">
      <c r="A246" s="180"/>
      <c r="B246" s="216" t="s">
        <v>147</v>
      </c>
      <c r="C246" s="199" t="n">
        <f aca="false">90-9</f>
        <v>81</v>
      </c>
      <c r="D246" s="199" t="n">
        <v>0.5</v>
      </c>
      <c r="E246" s="200" t="n">
        <v>0.5</v>
      </c>
      <c r="F246" s="230" t="n">
        <v>0.185</v>
      </c>
      <c r="G246" s="192" t="n">
        <f aca="false">(((D246+E246)*2)*F246*C246)+(C246*D246*E246)</f>
        <v>50.22</v>
      </c>
      <c r="H246" s="226"/>
      <c r="I246" s="211"/>
    </row>
    <row r="247" s="210" customFormat="true" ht="15" hidden="false" customHeight="false" outlineLevel="0" collapsed="false">
      <c r="A247" s="180"/>
      <c r="B247" s="216"/>
      <c r="C247" s="199" t="n">
        <v>9</v>
      </c>
      <c r="D247" s="199" t="n">
        <v>0.33</v>
      </c>
      <c r="E247" s="200" t="n">
        <v>0.5</v>
      </c>
      <c r="F247" s="230" t="n">
        <v>0.185</v>
      </c>
      <c r="G247" s="192" t="n">
        <f aca="false">(((D247+E247)*2)*F247*C247)+(C247*D247*E247)</f>
        <v>4.2489</v>
      </c>
      <c r="H247" s="226"/>
      <c r="I247" s="211"/>
    </row>
    <row r="248" s="210" customFormat="true" ht="15" hidden="false" customHeight="false" outlineLevel="0" collapsed="false">
      <c r="A248" s="180"/>
      <c r="B248" s="216" t="s">
        <v>148</v>
      </c>
      <c r="C248" s="199" t="n">
        <v>90</v>
      </c>
      <c r="D248" s="199" t="n">
        <v>0.5</v>
      </c>
      <c r="E248" s="200" t="n">
        <v>0.5</v>
      </c>
      <c r="F248" s="230" t="n">
        <v>0.185</v>
      </c>
      <c r="G248" s="192" t="n">
        <f aca="false">(((D248+E248)*2)*F248*C248)+(C248*D248*E248)</f>
        <v>55.8</v>
      </c>
      <c r="H248" s="226"/>
      <c r="I248" s="211"/>
    </row>
    <row r="249" s="210" customFormat="true" ht="15" hidden="false" customHeight="false" outlineLevel="0" collapsed="false">
      <c r="A249" s="180"/>
      <c r="B249" s="216"/>
      <c r="C249" s="199" t="n">
        <v>10</v>
      </c>
      <c r="D249" s="199" t="n">
        <v>0.33</v>
      </c>
      <c r="E249" s="200" t="n">
        <v>0.5</v>
      </c>
      <c r="F249" s="230" t="n">
        <v>0.185</v>
      </c>
      <c r="G249" s="192" t="n">
        <f aca="false">((D249+E249)*2)*F249*C249</f>
        <v>3.071</v>
      </c>
      <c r="H249" s="226"/>
      <c r="I249" s="211"/>
    </row>
    <row r="250" s="210" customFormat="true" ht="15" hidden="false" customHeight="false" outlineLevel="0" collapsed="false">
      <c r="A250" s="180"/>
      <c r="B250" s="216" t="s">
        <v>149</v>
      </c>
      <c r="C250" s="199" t="n">
        <v>81</v>
      </c>
      <c r="D250" s="199" t="n">
        <v>0.5</v>
      </c>
      <c r="E250" s="200" t="n">
        <v>0.5</v>
      </c>
      <c r="F250" s="230" t="n">
        <v>0.185</v>
      </c>
      <c r="G250" s="192" t="n">
        <f aca="false">(((D250+E250)*2)*F250*C250)+(C250*D250*E250)</f>
        <v>50.22</v>
      </c>
      <c r="H250" s="226"/>
      <c r="I250" s="211"/>
    </row>
    <row r="251" s="210" customFormat="true" ht="15" hidden="false" customHeight="false" outlineLevel="0" collapsed="false">
      <c r="A251" s="180"/>
      <c r="B251" s="189" t="s">
        <v>150</v>
      </c>
      <c r="C251" s="199" t="n">
        <v>90</v>
      </c>
      <c r="D251" s="199" t="n">
        <v>0.5</v>
      </c>
      <c r="E251" s="200" t="n">
        <v>0.5</v>
      </c>
      <c r="F251" s="230" t="n">
        <v>0.185</v>
      </c>
      <c r="G251" s="192" t="n">
        <f aca="false">(((D251+E251)*2)*F251*C251)+(C251*D251*E251)</f>
        <v>55.8</v>
      </c>
      <c r="H251" s="226"/>
      <c r="I251" s="211"/>
    </row>
    <row r="252" s="210" customFormat="true" ht="15" hidden="false" customHeight="false" outlineLevel="0" collapsed="false">
      <c r="A252" s="180"/>
      <c r="B252" s="216" t="s">
        <v>151</v>
      </c>
      <c r="C252" s="199" t="n">
        <v>90</v>
      </c>
      <c r="D252" s="199" t="n">
        <v>0.5</v>
      </c>
      <c r="E252" s="200" t="n">
        <v>0.5</v>
      </c>
      <c r="F252" s="230" t="n">
        <v>0.185</v>
      </c>
      <c r="G252" s="192" t="n">
        <f aca="false">(((D252+E252)*2)*F252*C252)+(C252*D252*E252)</f>
        <v>55.8</v>
      </c>
      <c r="I252" s="211"/>
    </row>
    <row r="253" s="210" customFormat="true" ht="15" hidden="false" customHeight="false" outlineLevel="0" collapsed="false">
      <c r="A253" s="180"/>
      <c r="B253" s="216"/>
      <c r="C253" s="199" t="n">
        <v>10</v>
      </c>
      <c r="D253" s="199" t="n">
        <v>0.5</v>
      </c>
      <c r="E253" s="200" t="n">
        <v>0.48</v>
      </c>
      <c r="F253" s="230" t="n">
        <v>0.185</v>
      </c>
      <c r="G253" s="192" t="n">
        <f aca="false">(((D253+E253)*2)*F253*C253)+(C253*D253*E253)</f>
        <v>6.026</v>
      </c>
      <c r="I253" s="211"/>
    </row>
    <row r="254" s="210" customFormat="true" ht="15" hidden="false" customHeight="false" outlineLevel="0" collapsed="false">
      <c r="A254" s="180"/>
      <c r="B254" s="202" t="s">
        <v>152</v>
      </c>
      <c r="C254" s="203" t="n">
        <v>59</v>
      </c>
      <c r="D254" s="199" t="n">
        <v>0.5</v>
      </c>
      <c r="E254" s="231" t="n">
        <v>0.5</v>
      </c>
      <c r="F254" s="232" t="n">
        <v>0.185</v>
      </c>
      <c r="G254" s="192" t="n">
        <f aca="false">(((D254+E254)*2)*F254*C254)+(C254*D254*E254)</f>
        <v>36.58</v>
      </c>
      <c r="I254" s="211"/>
    </row>
    <row r="255" s="210" customFormat="true" ht="15" hidden="false" customHeight="false" outlineLevel="0" collapsed="false">
      <c r="A255" s="180"/>
      <c r="B255" s="202"/>
      <c r="C255" s="203" t="n">
        <v>5</v>
      </c>
      <c r="D255" s="203" t="n">
        <v>0.3</v>
      </c>
      <c r="E255" s="231" t="n">
        <v>0.5</v>
      </c>
      <c r="F255" s="232" t="n">
        <v>0.185</v>
      </c>
      <c r="G255" s="192" t="n">
        <f aca="false">(((D255+E255)*2)*F255*C255)+(C255*D255*E255)</f>
        <v>2.23</v>
      </c>
      <c r="I255" s="211"/>
    </row>
    <row r="256" s="229" customFormat="true" ht="15" hidden="false" customHeight="false" outlineLevel="0" collapsed="false">
      <c r="A256" s="180"/>
      <c r="B256" s="228" t="s">
        <v>161</v>
      </c>
      <c r="C256" s="228"/>
      <c r="D256" s="228"/>
      <c r="E256" s="228"/>
      <c r="F256" s="228"/>
      <c r="G256" s="228"/>
      <c r="H256" s="210"/>
    </row>
    <row r="257" s="210" customFormat="true" ht="15" hidden="false" customHeight="false" outlineLevel="0" collapsed="false">
      <c r="A257" s="180"/>
      <c r="B257" s="202" t="s">
        <v>177</v>
      </c>
      <c r="C257" s="203" t="n">
        <v>1</v>
      </c>
      <c r="D257" s="203" t="n">
        <f aca="false">5.66+5.46+5.48</f>
        <v>16.6</v>
      </c>
      <c r="E257" s="247"/>
      <c r="F257" s="232" t="n">
        <v>0.9</v>
      </c>
      <c r="G257" s="217" t="n">
        <f aca="false">C257*D257*F257</f>
        <v>14.94</v>
      </c>
      <c r="I257" s="211"/>
    </row>
    <row r="258" s="210" customFormat="true" ht="15" hidden="false" customHeight="false" outlineLevel="0" collapsed="false">
      <c r="A258" s="180"/>
      <c r="B258" s="202" t="s">
        <v>178</v>
      </c>
      <c r="C258" s="203" t="n">
        <v>1</v>
      </c>
      <c r="D258" s="203" t="n">
        <f aca="false">5.66+5.46+5.48</f>
        <v>16.6</v>
      </c>
      <c r="E258" s="247" t="n">
        <v>0.15</v>
      </c>
      <c r="F258" s="232" t="n">
        <v>0.5</v>
      </c>
      <c r="G258" s="217" t="n">
        <f aca="false">C258*D258*(E258+(F258*2))</f>
        <v>19.09</v>
      </c>
      <c r="I258" s="211"/>
    </row>
    <row r="259" s="210" customFormat="true" ht="15" hidden="false" customHeight="false" outlineLevel="0" collapsed="false">
      <c r="A259" s="180"/>
      <c r="B259" s="202" t="s">
        <v>179</v>
      </c>
      <c r="C259" s="203" t="n">
        <v>1</v>
      </c>
      <c r="D259" s="203" t="n">
        <f aca="false">5.66+5.46+5.48</f>
        <v>16.6</v>
      </c>
      <c r="E259" s="247"/>
      <c r="F259" s="232" t="n">
        <v>0.5</v>
      </c>
      <c r="G259" s="217" t="n">
        <f aca="false">C259*D259*F259</f>
        <v>8.3</v>
      </c>
      <c r="I259" s="211"/>
    </row>
    <row r="260" s="210" customFormat="true" ht="15" hidden="false" customHeight="false" outlineLevel="0" collapsed="false">
      <c r="A260" s="180"/>
      <c r="B260" s="202" t="s">
        <v>180</v>
      </c>
      <c r="C260" s="203" t="n">
        <v>1</v>
      </c>
      <c r="D260" s="203" t="n">
        <v>11.36</v>
      </c>
      <c r="E260" s="247"/>
      <c r="F260" s="232" t="n">
        <v>0.5</v>
      </c>
      <c r="G260" s="217" t="n">
        <f aca="false">C260*D260*F260</f>
        <v>5.68</v>
      </c>
      <c r="I260" s="211"/>
    </row>
    <row r="261" s="210" customFormat="true" ht="15" hidden="false" customHeight="false" outlineLevel="0" collapsed="false">
      <c r="A261" s="180"/>
      <c r="B261" s="202" t="s">
        <v>137</v>
      </c>
      <c r="C261" s="203" t="n">
        <v>1</v>
      </c>
      <c r="D261" s="203" t="n">
        <v>11.36</v>
      </c>
      <c r="E261" s="247" t="n">
        <v>0.35</v>
      </c>
      <c r="F261" s="232" t="n">
        <v>0.5</v>
      </c>
      <c r="G261" s="217" t="n">
        <f aca="false">C261*D261*(E261+(F261*2))</f>
        <v>15.336</v>
      </c>
      <c r="I261" s="211"/>
    </row>
    <row r="262" s="210" customFormat="true" ht="15" hidden="false" customHeight="false" outlineLevel="0" collapsed="false">
      <c r="A262" s="180"/>
      <c r="B262" s="202" t="s">
        <v>138</v>
      </c>
      <c r="C262" s="203" t="n">
        <v>1</v>
      </c>
      <c r="D262" s="203" t="n">
        <v>11.36</v>
      </c>
      <c r="E262" s="247" t="n">
        <v>0.35</v>
      </c>
      <c r="F262" s="232" t="n">
        <v>0.5</v>
      </c>
      <c r="G262" s="217" t="n">
        <f aca="false">C262*D262*(E262+(F262*2))</f>
        <v>15.336</v>
      </c>
      <c r="I262" s="211"/>
    </row>
    <row r="263" s="210" customFormat="true" ht="15" hidden="false" customHeight="false" outlineLevel="0" collapsed="false">
      <c r="A263" s="180"/>
      <c r="B263" s="202" t="s">
        <v>181</v>
      </c>
      <c r="C263" s="203" t="n">
        <v>1</v>
      </c>
      <c r="D263" s="203" t="n">
        <f aca="false">5.43+5.28</f>
        <v>10.71</v>
      </c>
      <c r="E263" s="247" t="n">
        <v>0.15</v>
      </c>
      <c r="F263" s="232" t="n">
        <v>0.5</v>
      </c>
      <c r="G263" s="217" t="n">
        <f aca="false">C263*D263*(E263+F263)</f>
        <v>6.9615</v>
      </c>
      <c r="I263" s="211"/>
    </row>
    <row r="264" s="210" customFormat="true" ht="15" hidden="false" customHeight="false" outlineLevel="0" collapsed="false">
      <c r="A264" s="180"/>
      <c r="B264" s="228" t="s">
        <v>182</v>
      </c>
      <c r="C264" s="228"/>
      <c r="D264" s="228"/>
      <c r="E264" s="228"/>
      <c r="F264" s="228"/>
      <c r="G264" s="228"/>
      <c r="I264" s="211"/>
    </row>
    <row r="265" s="210" customFormat="true" ht="15" hidden="false" customHeight="false" outlineLevel="0" collapsed="false">
      <c r="A265" s="180"/>
      <c r="B265" s="227" t="s">
        <v>183</v>
      </c>
      <c r="C265" s="241" t="n">
        <v>1</v>
      </c>
      <c r="D265" s="241" t="n">
        <f aca="false">2.7+1.4</f>
        <v>4.1</v>
      </c>
      <c r="E265" s="248"/>
      <c r="F265" s="242" t="n">
        <v>0.5</v>
      </c>
      <c r="G265" s="249" t="n">
        <f aca="false">C265*D265*F265</f>
        <v>2.05</v>
      </c>
      <c r="I265" s="211"/>
    </row>
    <row r="266" s="210" customFormat="true" ht="15" hidden="false" customHeight="false" outlineLevel="0" collapsed="false">
      <c r="A266" s="180"/>
      <c r="B266" s="227" t="s">
        <v>184</v>
      </c>
      <c r="C266" s="241" t="n">
        <v>1</v>
      </c>
      <c r="D266" s="241" t="n">
        <v>1.5</v>
      </c>
      <c r="E266" s="248"/>
      <c r="F266" s="242" t="n">
        <v>0.5</v>
      </c>
      <c r="G266" s="249" t="n">
        <f aca="false">C266*D266*F266</f>
        <v>0.75</v>
      </c>
      <c r="I266" s="211"/>
    </row>
    <row r="267" s="210" customFormat="true" ht="15" hidden="false" customHeight="false" outlineLevel="0" collapsed="false">
      <c r="A267" s="180"/>
      <c r="B267" s="227" t="s">
        <v>185</v>
      </c>
      <c r="C267" s="241" t="n">
        <v>1</v>
      </c>
      <c r="D267" s="241" t="n">
        <v>1.5</v>
      </c>
      <c r="E267" s="248"/>
      <c r="F267" s="242" t="n">
        <v>0.5</v>
      </c>
      <c r="G267" s="249" t="n">
        <f aca="false">C267*D267*F267</f>
        <v>0.75</v>
      </c>
      <c r="H267" s="211"/>
      <c r="I267" s="211"/>
    </row>
    <row r="268" s="210" customFormat="true" ht="15" hidden="false" customHeight="false" outlineLevel="0" collapsed="false">
      <c r="A268" s="180"/>
      <c r="B268" s="227" t="s">
        <v>186</v>
      </c>
      <c r="C268" s="241" t="n">
        <v>1</v>
      </c>
      <c r="D268" s="241" t="n">
        <v>1.3</v>
      </c>
      <c r="E268" s="248" t="n">
        <v>0.15</v>
      </c>
      <c r="F268" s="242" t="n">
        <v>0.5</v>
      </c>
      <c r="G268" s="249" t="n">
        <f aca="false">C268*D268*(F268+E268)</f>
        <v>0.845</v>
      </c>
      <c r="H268" s="211"/>
      <c r="I268" s="211"/>
    </row>
    <row r="269" s="210" customFormat="true" ht="15" hidden="false" customHeight="false" outlineLevel="0" collapsed="false">
      <c r="A269" s="180"/>
      <c r="B269" s="227" t="s">
        <v>187</v>
      </c>
      <c r="C269" s="241" t="n">
        <v>1</v>
      </c>
      <c r="D269" s="241" t="n">
        <v>4.8</v>
      </c>
      <c r="E269" s="248"/>
      <c r="F269" s="242" t="n">
        <v>0.5</v>
      </c>
      <c r="G269" s="249" t="n">
        <f aca="false">C269*D269*F269</f>
        <v>2.4</v>
      </c>
      <c r="H269" s="211"/>
      <c r="I269" s="211"/>
    </row>
    <row r="270" s="210" customFormat="true" ht="15" hidden="false" customHeight="false" outlineLevel="0" collapsed="false">
      <c r="A270" s="180"/>
      <c r="B270" s="227" t="s">
        <v>179</v>
      </c>
      <c r="C270" s="241" t="n">
        <v>1</v>
      </c>
      <c r="D270" s="241" t="n">
        <v>2.45</v>
      </c>
      <c r="E270" s="248"/>
      <c r="F270" s="242" t="n">
        <v>0.5</v>
      </c>
      <c r="G270" s="249" t="n">
        <f aca="false">C270*D270*F270</f>
        <v>1.225</v>
      </c>
      <c r="H270" s="211"/>
      <c r="I270" s="211"/>
    </row>
    <row r="271" s="210" customFormat="true" ht="15" hidden="false" customHeight="false" outlineLevel="0" collapsed="false">
      <c r="A271" s="180"/>
      <c r="B271" s="227" t="s">
        <v>188</v>
      </c>
      <c r="C271" s="241" t="n">
        <v>1</v>
      </c>
      <c r="D271" s="241" t="n">
        <v>6.3</v>
      </c>
      <c r="E271" s="248"/>
      <c r="F271" s="242" t="n">
        <v>0.5</v>
      </c>
      <c r="G271" s="249" t="n">
        <f aca="false">C271*D271*F271</f>
        <v>3.15</v>
      </c>
      <c r="H271" s="211"/>
      <c r="I271" s="211"/>
    </row>
    <row r="272" s="172" customFormat="true" ht="15.75" hidden="false" customHeight="false" outlineLevel="0" collapsed="false">
      <c r="A272" s="180"/>
      <c r="B272" s="250" t="s">
        <v>189</v>
      </c>
      <c r="C272" s="250"/>
      <c r="D272" s="250"/>
      <c r="E272" s="250"/>
      <c r="F272" s="250"/>
      <c r="G272" s="194" t="n">
        <f aca="false">SUM(G216:G271)</f>
        <v>535.0195</v>
      </c>
      <c r="H272" s="211"/>
    </row>
    <row r="273" s="172" customFormat="true" ht="15.75" hidden="false" customHeight="false" outlineLevel="0" collapsed="false">
      <c r="A273" s="180"/>
      <c r="B273" s="251"/>
      <c r="C273" s="252"/>
      <c r="D273" s="252"/>
      <c r="E273" s="180"/>
      <c r="F273" s="210"/>
      <c r="G273" s="210"/>
      <c r="H273" s="210"/>
    </row>
    <row r="274" s="167" customFormat="true" ht="15" hidden="false" customHeight="false" outlineLevel="0" collapsed="false">
      <c r="A274" s="253"/>
      <c r="B274" s="254" t="s">
        <v>190</v>
      </c>
      <c r="C274" s="254"/>
      <c r="D274" s="255" t="s">
        <v>191</v>
      </c>
      <c r="E274" s="210"/>
      <c r="F274" s="256"/>
      <c r="G274" s="256"/>
      <c r="H274" s="256"/>
    </row>
    <row r="275" s="172" customFormat="true" ht="15" hidden="false" customHeight="false" outlineLevel="0" collapsed="false">
      <c r="A275" s="180"/>
      <c r="B275" s="257" t="s">
        <v>192</v>
      </c>
      <c r="C275" s="257"/>
      <c r="D275" s="258" t="n">
        <f aca="false">G272</f>
        <v>535.0195</v>
      </c>
      <c r="E275" s="210"/>
      <c r="F275" s="210"/>
      <c r="G275" s="210"/>
      <c r="H275" s="210"/>
    </row>
    <row r="276" s="172" customFormat="true" ht="15" hidden="false" customHeight="false" outlineLevel="0" collapsed="false">
      <c r="A276" s="180"/>
      <c r="B276" s="257" t="s">
        <v>193</v>
      </c>
      <c r="C276" s="257"/>
      <c r="D276" s="258" t="n">
        <f aca="false">G272</f>
        <v>535.0195</v>
      </c>
      <c r="E276" s="210"/>
      <c r="F276" s="210"/>
      <c r="G276" s="210"/>
      <c r="H276" s="210"/>
    </row>
    <row r="277" s="172" customFormat="true" ht="15.75" hidden="false" customHeight="false" outlineLevel="0" collapsed="false">
      <c r="A277" s="180"/>
      <c r="B277" s="250" t="s">
        <v>189</v>
      </c>
      <c r="C277" s="250"/>
      <c r="D277" s="259" t="n">
        <f aca="false">SUM(D275:D276)</f>
        <v>1070.039</v>
      </c>
      <c r="E277" s="210"/>
      <c r="F277" s="210"/>
      <c r="G277" s="210"/>
      <c r="H277" s="210"/>
    </row>
    <row r="278" s="172" customFormat="true" ht="15" hidden="false" customHeight="false" outlineLevel="0" collapsed="false">
      <c r="A278" s="180"/>
      <c r="B278" s="195"/>
      <c r="C278" s="210"/>
      <c r="D278" s="210"/>
      <c r="E278" s="210"/>
      <c r="F278" s="210"/>
      <c r="G278" s="210"/>
      <c r="H278" s="210"/>
      <c r="I278" s="229"/>
    </row>
    <row r="279" s="210" customFormat="true" ht="15" hidden="false" customHeight="false" outlineLevel="0" collapsed="false">
      <c r="A279" s="182" t="s">
        <v>43</v>
      </c>
      <c r="B279" s="183" t="str">
        <f aca="false">'Composições '!C132</f>
        <v>Furo em concreto com broca de vídea, utilizando martele elétrico (diâmetro até 1/2" / profundidade até 15 cm)</v>
      </c>
    </row>
    <row r="280" s="210" customFormat="true" ht="15.75" hidden="false" customHeight="false" outlineLevel="0" collapsed="false">
      <c r="A280" s="182"/>
      <c r="B280" s="221"/>
      <c r="E280" s="209"/>
      <c r="F280" s="209"/>
      <c r="G280" s="211"/>
      <c r="H280" s="211"/>
    </row>
    <row r="281" s="210" customFormat="true" ht="15" hidden="false" customHeight="false" outlineLevel="0" collapsed="false">
      <c r="A281" s="180"/>
      <c r="B281" s="185" t="s">
        <v>91</v>
      </c>
      <c r="C281" s="186" t="s">
        <v>109</v>
      </c>
      <c r="D281" s="186" t="s">
        <v>94</v>
      </c>
      <c r="E281" s="187" t="s">
        <v>110</v>
      </c>
      <c r="F281" s="187" t="s">
        <v>93</v>
      </c>
      <c r="G281" s="188" t="s">
        <v>194</v>
      </c>
      <c r="H281" s="211"/>
      <c r="I281" s="211"/>
    </row>
    <row r="282" s="210" customFormat="true" ht="15" hidden="false" customHeight="false" outlineLevel="0" collapsed="false">
      <c r="A282" s="180"/>
      <c r="B282" s="189" t="s">
        <v>195</v>
      </c>
      <c r="C282" s="199" t="n">
        <f aca="false">5*7</f>
        <v>35</v>
      </c>
      <c r="D282" s="199"/>
      <c r="E282" s="200"/>
      <c r="F282" s="200"/>
      <c r="G282" s="192" t="n">
        <f aca="false">C282</f>
        <v>35</v>
      </c>
      <c r="H282" s="226"/>
      <c r="I282" s="211"/>
    </row>
    <row r="283" s="210" customFormat="true" ht="15" hidden="false" customHeight="false" outlineLevel="0" collapsed="false">
      <c r="A283" s="180"/>
      <c r="B283" s="189" t="s">
        <v>102</v>
      </c>
      <c r="C283" s="199" t="n">
        <f aca="false">5*15</f>
        <v>75</v>
      </c>
      <c r="D283" s="199"/>
      <c r="E283" s="200"/>
      <c r="F283" s="200"/>
      <c r="G283" s="192" t="n">
        <f aca="false">C283</f>
        <v>75</v>
      </c>
      <c r="H283" s="225"/>
      <c r="I283" s="211"/>
    </row>
    <row r="284" s="210" customFormat="true" ht="15" hidden="false" customHeight="false" outlineLevel="0" collapsed="false">
      <c r="A284" s="180"/>
      <c r="B284" s="189" t="s">
        <v>103</v>
      </c>
      <c r="C284" s="199" t="n">
        <f aca="false">5*12</f>
        <v>60</v>
      </c>
      <c r="D284" s="199"/>
      <c r="E284" s="200"/>
      <c r="F284" s="200"/>
      <c r="G284" s="192" t="n">
        <f aca="false">C284</f>
        <v>60</v>
      </c>
      <c r="H284" s="225"/>
      <c r="I284" s="211"/>
    </row>
    <row r="285" s="210" customFormat="true" ht="15" hidden="false" customHeight="false" outlineLevel="0" collapsed="false">
      <c r="A285" s="180"/>
      <c r="B285" s="189" t="s">
        <v>104</v>
      </c>
      <c r="C285" s="199" t="n">
        <f aca="false">5*4</f>
        <v>20</v>
      </c>
      <c r="D285" s="199"/>
      <c r="E285" s="200"/>
      <c r="F285" s="200"/>
      <c r="G285" s="192" t="n">
        <f aca="false">C285</f>
        <v>20</v>
      </c>
      <c r="H285" s="225"/>
      <c r="I285" s="211"/>
    </row>
    <row r="286" s="210" customFormat="true" ht="15" hidden="false" customHeight="false" outlineLevel="0" collapsed="false">
      <c r="A286" s="180"/>
      <c r="B286" s="189" t="s">
        <v>105</v>
      </c>
      <c r="C286" s="203" t="n">
        <f aca="false">5*25</f>
        <v>125</v>
      </c>
      <c r="D286" s="203"/>
      <c r="E286" s="191"/>
      <c r="F286" s="191"/>
      <c r="G286" s="192" t="n">
        <f aca="false">C286</f>
        <v>125</v>
      </c>
      <c r="H286" s="225"/>
      <c r="I286" s="211"/>
    </row>
    <row r="287" s="210" customFormat="true" ht="15" hidden="false" customHeight="false" outlineLevel="0" collapsed="false">
      <c r="A287" s="180"/>
      <c r="B287" s="189" t="s">
        <v>106</v>
      </c>
      <c r="C287" s="203" t="n">
        <f aca="false">5*10</f>
        <v>50</v>
      </c>
      <c r="D287" s="203"/>
      <c r="E287" s="191"/>
      <c r="F287" s="191"/>
      <c r="G287" s="192" t="n">
        <f aca="false">C287</f>
        <v>50</v>
      </c>
      <c r="H287" s="225"/>
      <c r="I287" s="211"/>
    </row>
    <row r="288" s="210" customFormat="true" ht="15" hidden="false" customHeight="false" outlineLevel="0" collapsed="false">
      <c r="A288" s="180"/>
      <c r="B288" s="202" t="s">
        <v>166</v>
      </c>
      <c r="C288" s="203" t="n">
        <f aca="false">4*11</f>
        <v>44</v>
      </c>
      <c r="D288" s="203"/>
      <c r="E288" s="191"/>
      <c r="F288" s="191"/>
      <c r="G288" s="192" t="n">
        <f aca="false">C288</f>
        <v>44</v>
      </c>
      <c r="H288" s="225"/>
      <c r="I288" s="211"/>
    </row>
    <row r="289" s="210" customFormat="true" ht="15" hidden="false" customHeight="false" outlineLevel="0" collapsed="false">
      <c r="A289" s="180"/>
      <c r="B289" s="260" t="s">
        <v>167</v>
      </c>
      <c r="C289" s="203" t="n">
        <f aca="false">5*6</f>
        <v>30</v>
      </c>
      <c r="D289" s="203"/>
      <c r="E289" s="191"/>
      <c r="F289" s="191"/>
      <c r="G289" s="192" t="n">
        <f aca="false">C289</f>
        <v>30</v>
      </c>
      <c r="H289" s="225"/>
      <c r="I289" s="211"/>
    </row>
    <row r="290" s="210" customFormat="true" ht="15.75" hidden="false" customHeight="false" outlineLevel="0" collapsed="false">
      <c r="A290" s="180"/>
      <c r="B290" s="193" t="s">
        <v>196</v>
      </c>
      <c r="C290" s="193"/>
      <c r="D290" s="193"/>
      <c r="E290" s="193"/>
      <c r="F290" s="193"/>
      <c r="G290" s="194" t="n">
        <f aca="false">SUM(G282:G289)</f>
        <v>439</v>
      </c>
      <c r="H290" s="225"/>
      <c r="I290" s="211"/>
    </row>
    <row r="291" s="172" customFormat="true" ht="15" hidden="false" customHeight="false" outlineLevel="0" collapsed="false">
      <c r="A291" s="180"/>
      <c r="B291" s="195"/>
      <c r="C291" s="177"/>
      <c r="D291" s="177"/>
      <c r="E291" s="177"/>
      <c r="H291" s="225"/>
    </row>
    <row r="292" s="168" customFormat="true" ht="15" hidden="false" customHeight="false" outlineLevel="0" collapsed="false">
      <c r="A292" s="261" t="s">
        <v>44</v>
      </c>
      <c r="B292" s="195" t="str">
        <f aca="false">'Composições '!C142</f>
        <v>Armação de laje de uma estrutura convencional de concreto armado em um edifício de múltiplos pavimentos utilizando aço ca-60 de 4,2 mm - montagem. </v>
      </c>
      <c r="C292" s="177"/>
      <c r="D292" s="177"/>
      <c r="E292" s="177"/>
    </row>
    <row r="293" customFormat="false" ht="16.5" hidden="false" customHeight="true" outlineLevel="0" collapsed="false">
      <c r="B293" s="195"/>
      <c r="C293" s="177"/>
      <c r="D293" s="177"/>
      <c r="E293" s="177"/>
    </row>
    <row r="294" customFormat="false" ht="16.5" hidden="false" customHeight="true" outlineLevel="0" collapsed="false">
      <c r="B294" s="262" t="s">
        <v>91</v>
      </c>
      <c r="C294" s="186" t="s">
        <v>109</v>
      </c>
      <c r="D294" s="215" t="s">
        <v>94</v>
      </c>
      <c r="E294" s="263" t="s">
        <v>197</v>
      </c>
      <c r="F294" s="263"/>
      <c r="G294" s="236" t="s">
        <v>198</v>
      </c>
      <c r="H294" s="264"/>
    </row>
    <row r="295" customFormat="false" ht="16.5" hidden="false" customHeight="true" outlineLevel="0" collapsed="false">
      <c r="B295" s="265" t="s">
        <v>199</v>
      </c>
      <c r="C295" s="237" t="n">
        <f aca="false">3*2</f>
        <v>6</v>
      </c>
      <c r="D295" s="199" t="n">
        <f aca="false">2.23+0.1+0.4</f>
        <v>2.73</v>
      </c>
      <c r="E295" s="266" t="n">
        <v>0.109</v>
      </c>
      <c r="F295" s="266"/>
      <c r="G295" s="238" t="n">
        <f aca="false">C295*D295*E295</f>
        <v>1.78542</v>
      </c>
      <c r="H295" s="168" t="n">
        <v>2.23</v>
      </c>
      <c r="I295" s="168" t="n">
        <f aca="false">C295*H295</f>
        <v>13.38</v>
      </c>
      <c r="J295" s="168" t="n">
        <f aca="false">C295*D295</f>
        <v>16.38</v>
      </c>
    </row>
    <row r="296" customFormat="false" ht="16.5" hidden="false" customHeight="true" outlineLevel="0" collapsed="false">
      <c r="B296" s="265"/>
      <c r="C296" s="203" t="n">
        <f aca="false">4*2</f>
        <v>8</v>
      </c>
      <c r="D296" s="203" t="n">
        <f aca="false">1.9+(0.4*2)</f>
        <v>2.7</v>
      </c>
      <c r="E296" s="266" t="n">
        <v>0.109</v>
      </c>
      <c r="F296" s="266"/>
      <c r="G296" s="238" t="n">
        <f aca="false">C296*D296*E296</f>
        <v>2.3544</v>
      </c>
      <c r="H296" s="168" t="n">
        <v>1.9</v>
      </c>
      <c r="I296" s="168" t="n">
        <f aca="false">C296*H296</f>
        <v>15.2</v>
      </c>
      <c r="J296" s="168" t="n">
        <f aca="false">C296*D296</f>
        <v>21.6</v>
      </c>
    </row>
    <row r="297" customFormat="false" ht="16.5" hidden="false" customHeight="true" outlineLevel="0" collapsed="false">
      <c r="B297" s="265" t="s">
        <v>200</v>
      </c>
      <c r="C297" s="203" t="n">
        <f aca="false">4*2</f>
        <v>8</v>
      </c>
      <c r="D297" s="203" t="n">
        <f aca="false">1.3+(0.4*2)</f>
        <v>2.1</v>
      </c>
      <c r="E297" s="266" t="n">
        <v>0.109</v>
      </c>
      <c r="F297" s="266"/>
      <c r="G297" s="238" t="n">
        <f aca="false">C297*D297*E297</f>
        <v>1.8312</v>
      </c>
      <c r="H297" s="168" t="n">
        <v>1.3</v>
      </c>
      <c r="I297" s="168" t="n">
        <f aca="false">C297*H297</f>
        <v>10.4</v>
      </c>
      <c r="J297" s="168" t="n">
        <f aca="false">C297*D297</f>
        <v>16.8</v>
      </c>
    </row>
    <row r="298" customFormat="false" ht="16.5" hidden="false" customHeight="true" outlineLevel="0" collapsed="false">
      <c r="B298" s="265"/>
      <c r="C298" s="203" t="n">
        <f aca="false">4*2</f>
        <v>8</v>
      </c>
      <c r="D298" s="203" t="n">
        <f aca="false">1.98+0.1+0.4</f>
        <v>2.48</v>
      </c>
      <c r="E298" s="266" t="n">
        <v>0.109</v>
      </c>
      <c r="F298" s="266"/>
      <c r="G298" s="238" t="n">
        <f aca="false">C298*D298*E298</f>
        <v>2.16256</v>
      </c>
      <c r="H298" s="168" t="n">
        <v>1.98</v>
      </c>
      <c r="I298" s="168" t="n">
        <f aca="false">C298*H298</f>
        <v>15.84</v>
      </c>
      <c r="J298" s="168" t="n">
        <f aca="false">C298*D298</f>
        <v>19.84</v>
      </c>
    </row>
    <row r="299" customFormat="false" ht="16.5" hidden="false" customHeight="true" outlineLevel="0" collapsed="false">
      <c r="B299" s="265" t="s">
        <v>201</v>
      </c>
      <c r="C299" s="203" t="n">
        <f aca="false">3*2</f>
        <v>6</v>
      </c>
      <c r="D299" s="203" t="n">
        <f aca="false">4.03+0.1+0.4</f>
        <v>4.53</v>
      </c>
      <c r="E299" s="266" t="n">
        <v>0.109</v>
      </c>
      <c r="F299" s="266"/>
      <c r="G299" s="238" t="n">
        <f aca="false">C299*D299*E299</f>
        <v>2.96262</v>
      </c>
      <c r="H299" s="168" t="n">
        <v>4.03</v>
      </c>
      <c r="I299" s="168" t="n">
        <f aca="false">C299*H299</f>
        <v>24.18</v>
      </c>
      <c r="J299" s="168" t="n">
        <f aca="false">C299*D299</f>
        <v>27.18</v>
      </c>
    </row>
    <row r="300" customFormat="false" ht="16.5" hidden="false" customHeight="true" outlineLevel="0" collapsed="false">
      <c r="B300" s="265"/>
      <c r="C300" s="203" t="n">
        <f aca="false">1*2</f>
        <v>2</v>
      </c>
      <c r="D300" s="203" t="n">
        <f aca="false">5.73+(0.1*2)</f>
        <v>5.93</v>
      </c>
      <c r="E300" s="266" t="n">
        <v>0.109</v>
      </c>
      <c r="F300" s="266"/>
      <c r="G300" s="238" t="n">
        <f aca="false">C300*D300*E300</f>
        <v>1.29274</v>
      </c>
      <c r="H300" s="168" t="n">
        <v>5.73</v>
      </c>
      <c r="I300" s="168" t="n">
        <f aca="false">C300*H300</f>
        <v>11.46</v>
      </c>
      <c r="J300" s="168" t="n">
        <f aca="false">C300*D300</f>
        <v>11.86</v>
      </c>
    </row>
    <row r="301" customFormat="false" ht="16.5" hidden="false" customHeight="true" outlineLevel="0" collapsed="false">
      <c r="B301" s="265"/>
      <c r="C301" s="203" t="n">
        <f aca="false">3*2</f>
        <v>6</v>
      </c>
      <c r="D301" s="203" t="n">
        <f aca="false">4.63+0.1+0.4</f>
        <v>5.13</v>
      </c>
      <c r="E301" s="266" t="n">
        <v>0.109</v>
      </c>
      <c r="F301" s="266"/>
      <c r="G301" s="238" t="n">
        <f aca="false">C301*D301*E301</f>
        <v>3.35502</v>
      </c>
      <c r="H301" s="168" t="n">
        <v>4.63</v>
      </c>
      <c r="I301" s="168" t="n">
        <f aca="false">C301*H301</f>
        <v>27.78</v>
      </c>
      <c r="J301" s="168" t="n">
        <f aca="false">C301*D301</f>
        <v>30.78</v>
      </c>
    </row>
    <row r="302" customFormat="false" ht="16.5" hidden="false" customHeight="true" outlineLevel="0" collapsed="false">
      <c r="B302" s="265" t="s">
        <v>202</v>
      </c>
      <c r="C302" s="203" t="n">
        <f aca="false">7*2</f>
        <v>14</v>
      </c>
      <c r="D302" s="203" t="n">
        <f aca="false">4.2+0.4+0.1</f>
        <v>4.7</v>
      </c>
      <c r="E302" s="266" t="n">
        <v>0.109</v>
      </c>
      <c r="F302" s="266"/>
      <c r="G302" s="238" t="n">
        <f aca="false">C302*D302*E302</f>
        <v>7.1722</v>
      </c>
      <c r="H302" s="168" t="n">
        <v>4.2</v>
      </c>
      <c r="I302" s="168" t="n">
        <f aca="false">C302*H302</f>
        <v>58.8</v>
      </c>
      <c r="J302" s="168" t="n">
        <f aca="false">C302*D302</f>
        <v>65.8</v>
      </c>
    </row>
    <row r="303" customFormat="false" ht="16.5" hidden="false" customHeight="true" outlineLevel="0" collapsed="false">
      <c r="B303" s="265"/>
      <c r="C303" s="203" t="n">
        <f aca="false">1*2</f>
        <v>2</v>
      </c>
      <c r="D303" s="203" t="n">
        <f aca="false">2.4+(0.4*2)</f>
        <v>3.2</v>
      </c>
      <c r="E303" s="266" t="n">
        <v>0.109</v>
      </c>
      <c r="F303" s="266"/>
      <c r="G303" s="238" t="n">
        <f aca="false">C303*D303*E303</f>
        <v>0.6976</v>
      </c>
      <c r="H303" s="168" t="n">
        <v>2.4</v>
      </c>
      <c r="I303" s="168" t="n">
        <f aca="false">C303*H303</f>
        <v>4.8</v>
      </c>
      <c r="J303" s="168" t="n">
        <f aca="false">C303*D303</f>
        <v>6.4</v>
      </c>
    </row>
    <row r="304" customFormat="false" ht="16.5" hidden="false" customHeight="true" outlineLevel="0" collapsed="false">
      <c r="B304" s="265"/>
      <c r="C304" s="203" t="n">
        <f aca="false">1*2</f>
        <v>2</v>
      </c>
      <c r="D304" s="203" t="n">
        <f aca="false">1.1+(0.4*2)</f>
        <v>1.9</v>
      </c>
      <c r="E304" s="266" t="n">
        <v>0.109</v>
      </c>
      <c r="F304" s="266"/>
      <c r="G304" s="238" t="n">
        <f aca="false">C304*D304*E304</f>
        <v>0.4142</v>
      </c>
      <c r="H304" s="168" t="n">
        <v>1.1</v>
      </c>
      <c r="I304" s="168" t="n">
        <f aca="false">C304*H304</f>
        <v>2.2</v>
      </c>
      <c r="J304" s="168" t="n">
        <f aca="false">C304*D304</f>
        <v>3.8</v>
      </c>
    </row>
    <row r="305" customFormat="false" ht="16.5" hidden="false" customHeight="true" outlineLevel="0" collapsed="false">
      <c r="B305" s="267" t="s">
        <v>203</v>
      </c>
      <c r="C305" s="203" t="n">
        <f aca="false">3*2</f>
        <v>6</v>
      </c>
      <c r="D305" s="203" t="n">
        <f aca="false">2.23+0.1+0.4</f>
        <v>2.73</v>
      </c>
      <c r="E305" s="266" t="n">
        <v>0.109</v>
      </c>
      <c r="F305" s="266"/>
      <c r="G305" s="238" t="n">
        <f aca="false">C305*D305*E305</f>
        <v>1.78542</v>
      </c>
      <c r="H305" s="168" t="n">
        <v>2.23</v>
      </c>
      <c r="I305" s="168" t="n">
        <f aca="false">C305*H305</f>
        <v>13.38</v>
      </c>
      <c r="J305" s="168" t="n">
        <f aca="false">C305*D305</f>
        <v>16.38</v>
      </c>
    </row>
    <row r="306" customFormat="false" ht="16.5" hidden="false" customHeight="true" outlineLevel="0" collapsed="false">
      <c r="B306" s="267"/>
      <c r="C306" s="203" t="n">
        <f aca="false">3*2</f>
        <v>6</v>
      </c>
      <c r="D306" s="203" t="n">
        <f aca="false">2.3+0.4+0.1</f>
        <v>2.8</v>
      </c>
      <c r="E306" s="266" t="n">
        <v>0.109</v>
      </c>
      <c r="F306" s="266"/>
      <c r="G306" s="238" t="n">
        <f aca="false">C306*D306*E306</f>
        <v>1.8312</v>
      </c>
      <c r="H306" s="168" t="n">
        <v>2.3</v>
      </c>
      <c r="I306" s="168" t="n">
        <f aca="false">C306*H306</f>
        <v>13.8</v>
      </c>
      <c r="J306" s="168" t="n">
        <f aca="false">C306*D306</f>
        <v>16.8</v>
      </c>
    </row>
    <row r="307" customFormat="false" ht="16.5" hidden="false" customHeight="true" outlineLevel="0" collapsed="false">
      <c r="B307" s="267"/>
      <c r="C307" s="203" t="n">
        <f aca="false">3*2</f>
        <v>6</v>
      </c>
      <c r="D307" s="203" t="n">
        <f aca="false">5.73+(0.1*2)</f>
        <v>5.93</v>
      </c>
      <c r="E307" s="266" t="n">
        <v>0.109</v>
      </c>
      <c r="F307" s="266"/>
      <c r="G307" s="238" t="n">
        <f aca="false">C307*D307*E307</f>
        <v>3.87822</v>
      </c>
      <c r="H307" s="168" t="n">
        <v>5.73</v>
      </c>
      <c r="I307" s="168" t="n">
        <f aca="false">C307*H307</f>
        <v>34.38</v>
      </c>
      <c r="J307" s="168" t="n">
        <f aca="false">C307*D307</f>
        <v>35.58</v>
      </c>
    </row>
    <row r="308" customFormat="false" ht="16.5" hidden="false" customHeight="true" outlineLevel="0" collapsed="false">
      <c r="B308" s="267" t="s">
        <v>204</v>
      </c>
      <c r="C308" s="203" t="n">
        <f aca="false">4*2</f>
        <v>8</v>
      </c>
      <c r="D308" s="203" t="n">
        <f aca="false">3.6+(0.4*2)</f>
        <v>4.4</v>
      </c>
      <c r="E308" s="266" t="n">
        <v>0.109</v>
      </c>
      <c r="F308" s="266"/>
      <c r="G308" s="238" t="n">
        <f aca="false">C308*D308*E308</f>
        <v>3.8368</v>
      </c>
      <c r="H308" s="168" t="n">
        <v>3.6</v>
      </c>
      <c r="I308" s="168" t="n">
        <f aca="false">C308*H308</f>
        <v>28.8</v>
      </c>
      <c r="J308" s="168" t="n">
        <f aca="false">C308*D308</f>
        <v>35.2</v>
      </c>
    </row>
    <row r="309" customFormat="false" ht="16.5" hidden="false" customHeight="true" outlineLevel="0" collapsed="false">
      <c r="B309" s="267"/>
      <c r="C309" s="203" t="n">
        <f aca="false">3*2</f>
        <v>6</v>
      </c>
      <c r="D309" s="203" t="n">
        <f aca="false">1.8+(0.4*2)</f>
        <v>2.6</v>
      </c>
      <c r="E309" s="266" t="n">
        <v>0.109</v>
      </c>
      <c r="F309" s="266"/>
      <c r="G309" s="238" t="n">
        <f aca="false">C309*D309*E309</f>
        <v>1.7004</v>
      </c>
      <c r="H309" s="168" t="n">
        <v>1.8</v>
      </c>
      <c r="I309" s="168" t="n">
        <f aca="false">C309*H309</f>
        <v>10.8</v>
      </c>
      <c r="J309" s="168" t="n">
        <f aca="false">C309*D309</f>
        <v>15.6</v>
      </c>
    </row>
    <row r="310" customFormat="false" ht="16.5" hidden="false" customHeight="true" outlineLevel="0" collapsed="false">
      <c r="B310" s="267"/>
      <c r="C310" s="203" t="n">
        <f aca="false">2*2</f>
        <v>4</v>
      </c>
      <c r="D310" s="203" t="n">
        <f aca="false">3.6+(0.4*2)</f>
        <v>4.4</v>
      </c>
      <c r="E310" s="266" t="n">
        <v>0.109</v>
      </c>
      <c r="F310" s="266"/>
      <c r="G310" s="238" t="n">
        <f aca="false">C310*D310*E310</f>
        <v>1.9184</v>
      </c>
      <c r="H310" s="168" t="n">
        <v>3.6</v>
      </c>
      <c r="I310" s="168" t="n">
        <f aca="false">C310*H310</f>
        <v>14.4</v>
      </c>
      <c r="J310" s="168" t="n">
        <f aca="false">C310*D310</f>
        <v>17.6</v>
      </c>
    </row>
    <row r="311" customFormat="false" ht="16.5" hidden="false" customHeight="true" outlineLevel="0" collapsed="false">
      <c r="B311" s="267"/>
      <c r="C311" s="203" t="n">
        <f aca="false">1*2</f>
        <v>2</v>
      </c>
      <c r="D311" s="203" t="n">
        <f aca="false">1.3+(0.4*2)</f>
        <v>2.1</v>
      </c>
      <c r="E311" s="266" t="n">
        <v>0.109</v>
      </c>
      <c r="F311" s="266"/>
      <c r="G311" s="238" t="n">
        <f aca="false">C311*D311*E311</f>
        <v>0.4578</v>
      </c>
      <c r="H311" s="168" t="n">
        <v>1.3</v>
      </c>
      <c r="I311" s="168" t="n">
        <f aca="false">C311*H311</f>
        <v>2.6</v>
      </c>
      <c r="J311" s="168" t="n">
        <f aca="false">C311*D311</f>
        <v>4.2</v>
      </c>
    </row>
    <row r="312" customFormat="false" ht="16.5" hidden="false" customHeight="true" outlineLevel="0" collapsed="false">
      <c r="B312" s="265" t="s">
        <v>205</v>
      </c>
      <c r="C312" s="203" t="n">
        <f aca="false">2*2</f>
        <v>4</v>
      </c>
      <c r="D312" s="203" t="n">
        <f aca="false">2.5+(0.4*2)</f>
        <v>3.3</v>
      </c>
      <c r="E312" s="266" t="n">
        <v>0.109</v>
      </c>
      <c r="F312" s="266"/>
      <c r="G312" s="238" t="n">
        <f aca="false">C312*D312*E312</f>
        <v>1.4388</v>
      </c>
      <c r="H312" s="168" t="n">
        <v>2.5</v>
      </c>
      <c r="I312" s="168" t="n">
        <f aca="false">C312*H312</f>
        <v>10</v>
      </c>
      <c r="J312" s="168" t="n">
        <f aca="false">C312*D312</f>
        <v>13.2</v>
      </c>
    </row>
    <row r="313" customFormat="false" ht="16.5" hidden="false" customHeight="true" outlineLevel="0" collapsed="false">
      <c r="B313" s="265"/>
      <c r="C313" s="203" t="n">
        <f aca="false">1*2</f>
        <v>2</v>
      </c>
      <c r="D313" s="203" t="n">
        <f aca="false">3.6+(0.4*2)</f>
        <v>4.4</v>
      </c>
      <c r="E313" s="266" t="n">
        <v>0.109</v>
      </c>
      <c r="F313" s="266"/>
      <c r="G313" s="238" t="n">
        <f aca="false">C313*D313*E313</f>
        <v>0.9592</v>
      </c>
      <c r="H313" s="168" t="n">
        <v>3.6</v>
      </c>
      <c r="I313" s="168" t="n">
        <f aca="false">C313*H313</f>
        <v>7.2</v>
      </c>
      <c r="J313" s="168" t="n">
        <f aca="false">C313*D313</f>
        <v>8.8</v>
      </c>
    </row>
    <row r="314" customFormat="false" ht="16.5" hidden="false" customHeight="true" outlineLevel="0" collapsed="false">
      <c r="B314" s="265"/>
      <c r="C314" s="203" t="n">
        <f aca="false">2*2</f>
        <v>4</v>
      </c>
      <c r="D314" s="203" t="n">
        <f aca="false">2.9+(0.4*2)</f>
        <v>3.7</v>
      </c>
      <c r="E314" s="266" t="n">
        <v>0.109</v>
      </c>
      <c r="F314" s="266"/>
      <c r="G314" s="238" t="n">
        <f aca="false">C314*D314*E314</f>
        <v>1.6132</v>
      </c>
      <c r="H314" s="168" t="n">
        <v>2.9</v>
      </c>
      <c r="I314" s="168" t="n">
        <f aca="false">C314*H314</f>
        <v>11.6</v>
      </c>
      <c r="J314" s="168" t="n">
        <f aca="false">C314*D314</f>
        <v>14.8</v>
      </c>
    </row>
    <row r="315" customFormat="false" ht="16.5" hidden="false" customHeight="true" outlineLevel="0" collapsed="false">
      <c r="B315" s="265" t="s">
        <v>206</v>
      </c>
      <c r="C315" s="203" t="n">
        <f aca="false">1*2</f>
        <v>2</v>
      </c>
      <c r="D315" s="203" t="n">
        <f aca="false">1.38+0.4+0.1</f>
        <v>1.88</v>
      </c>
      <c r="E315" s="266" t="n">
        <v>0.109</v>
      </c>
      <c r="F315" s="266"/>
      <c r="G315" s="238" t="n">
        <f aca="false">C315*D315*E315</f>
        <v>0.40984</v>
      </c>
      <c r="H315" s="168" t="n">
        <v>1.38</v>
      </c>
      <c r="I315" s="168" t="n">
        <f aca="false">C315*H315</f>
        <v>2.76</v>
      </c>
      <c r="J315" s="168" t="n">
        <f aca="false">C315*D315</f>
        <v>3.76</v>
      </c>
    </row>
    <row r="316" customFormat="false" ht="16.5" hidden="false" customHeight="true" outlineLevel="0" collapsed="false">
      <c r="B316" s="265"/>
      <c r="C316" s="203" t="n">
        <f aca="false">3*2</f>
        <v>6</v>
      </c>
      <c r="D316" s="203" t="n">
        <f aca="false">3.08+0.4+0.1</f>
        <v>3.58</v>
      </c>
      <c r="E316" s="266" t="n">
        <v>0.109</v>
      </c>
      <c r="F316" s="266"/>
      <c r="G316" s="238" t="n">
        <f aca="false">C316*D316*E316</f>
        <v>2.34132</v>
      </c>
      <c r="H316" s="168" t="n">
        <v>3.08</v>
      </c>
      <c r="I316" s="168" t="n">
        <f aca="false">C316*H316</f>
        <v>18.48</v>
      </c>
      <c r="J316" s="168" t="n">
        <f aca="false">C316*D316</f>
        <v>21.48</v>
      </c>
    </row>
    <row r="317" customFormat="false" ht="16.5" hidden="false" customHeight="true" outlineLevel="0" collapsed="false">
      <c r="B317" s="265"/>
      <c r="C317" s="203" t="n">
        <f aca="false">2*2</f>
        <v>4</v>
      </c>
      <c r="D317" s="203" t="n">
        <f aca="false">1.8+(0.4*2)</f>
        <v>2.6</v>
      </c>
      <c r="E317" s="266" t="n">
        <v>0.109</v>
      </c>
      <c r="F317" s="266"/>
      <c r="G317" s="238" t="n">
        <f aca="false">C317*D317*E317</f>
        <v>1.1336</v>
      </c>
      <c r="H317" s="168" t="n">
        <v>1.8</v>
      </c>
      <c r="I317" s="168" t="n">
        <f aca="false">C317*H317</f>
        <v>7.2</v>
      </c>
      <c r="J317" s="168" t="n">
        <f aca="false">C317*D317</f>
        <v>10.4</v>
      </c>
    </row>
    <row r="318" customFormat="false" ht="16.5" hidden="false" customHeight="true" outlineLevel="0" collapsed="false">
      <c r="B318" s="265" t="s">
        <v>207</v>
      </c>
      <c r="C318" s="203" t="n">
        <f aca="false">5*2</f>
        <v>10</v>
      </c>
      <c r="D318" s="203" t="n">
        <f aca="false">5.48+(0.1*2)</f>
        <v>5.68</v>
      </c>
      <c r="E318" s="266" t="n">
        <v>0.109</v>
      </c>
      <c r="F318" s="266"/>
      <c r="G318" s="238" t="n">
        <f aca="false">C318*D318*E318</f>
        <v>6.1912</v>
      </c>
      <c r="H318" s="168" t="n">
        <v>5.48</v>
      </c>
      <c r="I318" s="168" t="n">
        <f aca="false">C318*H318</f>
        <v>54.8</v>
      </c>
      <c r="J318" s="168" t="n">
        <f aca="false">C318*D318</f>
        <v>56.8</v>
      </c>
    </row>
    <row r="319" customFormat="false" ht="16.5" hidden="false" customHeight="true" outlineLevel="0" collapsed="false">
      <c r="B319" s="265"/>
      <c r="C319" s="203" t="n">
        <f aca="false">1*2</f>
        <v>2</v>
      </c>
      <c r="D319" s="203" t="n">
        <f aca="false">4.8+0.1+0.4</f>
        <v>5.3</v>
      </c>
      <c r="E319" s="266" t="n">
        <v>0.109</v>
      </c>
      <c r="F319" s="266"/>
      <c r="G319" s="238" t="n">
        <f aca="false">C319*D319*E319</f>
        <v>1.1554</v>
      </c>
      <c r="H319" s="168" t="n">
        <v>4.8</v>
      </c>
      <c r="I319" s="168" t="n">
        <f aca="false">C319*H319</f>
        <v>9.6</v>
      </c>
      <c r="J319" s="168" t="n">
        <f aca="false">C319*D319</f>
        <v>10.6</v>
      </c>
    </row>
    <row r="320" customFormat="false" ht="16.5" hidden="false" customHeight="true" outlineLevel="0" collapsed="false">
      <c r="B320" s="265"/>
      <c r="C320" s="203" t="n">
        <f aca="false">3*2</f>
        <v>6</v>
      </c>
      <c r="D320" s="203" t="n">
        <f aca="false">2.3+(0.4*2)</f>
        <v>3.1</v>
      </c>
      <c r="E320" s="266" t="n">
        <v>0.109</v>
      </c>
      <c r="F320" s="266"/>
      <c r="G320" s="238" t="n">
        <f aca="false">C320*D320*E320</f>
        <v>2.0274</v>
      </c>
      <c r="H320" s="168" t="n">
        <v>2.3</v>
      </c>
      <c r="I320" s="168" t="n">
        <f aca="false">C320*H320</f>
        <v>13.8</v>
      </c>
      <c r="J320" s="168" t="n">
        <f aca="false">C320*D320</f>
        <v>18.6</v>
      </c>
    </row>
    <row r="321" customFormat="false" ht="16.5" hidden="false" customHeight="true" outlineLevel="0" collapsed="false">
      <c r="B321" s="265"/>
      <c r="C321" s="203" t="n">
        <f aca="false">3*2</f>
        <v>6</v>
      </c>
      <c r="D321" s="203" t="n">
        <f aca="false">0.78+0.4+0.1</f>
        <v>1.28</v>
      </c>
      <c r="E321" s="266" t="n">
        <v>0.109</v>
      </c>
      <c r="F321" s="266"/>
      <c r="G321" s="238" t="n">
        <f aca="false">C321*D321*E321</f>
        <v>0.83712</v>
      </c>
      <c r="H321" s="168" t="n">
        <v>0.78</v>
      </c>
      <c r="I321" s="168" t="n">
        <f aca="false">C321*H321</f>
        <v>4.68</v>
      </c>
      <c r="J321" s="168" t="n">
        <f aca="false">C321*D321</f>
        <v>7.68</v>
      </c>
    </row>
    <row r="322" customFormat="false" ht="16.5" hidden="false" customHeight="true" outlineLevel="0" collapsed="false">
      <c r="B322" s="265" t="s">
        <v>208</v>
      </c>
      <c r="C322" s="203" t="n">
        <f aca="false">2*2</f>
        <v>4</v>
      </c>
      <c r="D322" s="203" t="n">
        <f aca="false">3.6+0.4+0.1</f>
        <v>4.1</v>
      </c>
      <c r="E322" s="266" t="n">
        <v>0.109</v>
      </c>
      <c r="F322" s="266"/>
      <c r="G322" s="238" t="n">
        <f aca="false">C322*D322*E322</f>
        <v>1.7876</v>
      </c>
      <c r="H322" s="168" t="n">
        <v>3.6</v>
      </c>
      <c r="I322" s="168" t="n">
        <f aca="false">C322*H322</f>
        <v>14.4</v>
      </c>
      <c r="J322" s="168" t="n">
        <f aca="false">C322*D322</f>
        <v>16.4</v>
      </c>
    </row>
    <row r="323" customFormat="false" ht="16.5" hidden="false" customHeight="true" outlineLevel="0" collapsed="false">
      <c r="B323" s="265"/>
      <c r="C323" s="203" t="n">
        <f aca="false">3*2</f>
        <v>6</v>
      </c>
      <c r="D323" s="203" t="n">
        <f aca="false">5.46+(0.1*2)</f>
        <v>5.66</v>
      </c>
      <c r="E323" s="266" t="n">
        <v>0.109</v>
      </c>
      <c r="F323" s="266"/>
      <c r="G323" s="238" t="n">
        <f aca="false">C323*D323*E323</f>
        <v>3.70164</v>
      </c>
      <c r="H323" s="168" t="n">
        <v>5.46</v>
      </c>
      <c r="I323" s="168" t="n">
        <f aca="false">C323*H323</f>
        <v>32.76</v>
      </c>
      <c r="J323" s="168" t="n">
        <f aca="false">C323*D323</f>
        <v>33.96</v>
      </c>
    </row>
    <row r="324" customFormat="false" ht="16.5" hidden="false" customHeight="true" outlineLevel="0" collapsed="false">
      <c r="B324" s="265"/>
      <c r="C324" s="203" t="n">
        <f aca="false">2*2</f>
        <v>4</v>
      </c>
      <c r="D324" s="203" t="n">
        <f aca="false">4.1+0.1+0.4</f>
        <v>4.6</v>
      </c>
      <c r="E324" s="266" t="n">
        <v>0.109</v>
      </c>
      <c r="F324" s="266"/>
      <c r="G324" s="238" t="n">
        <f aca="false">C324*D324*E324</f>
        <v>2.0056</v>
      </c>
      <c r="H324" s="168" t="n">
        <v>4.1</v>
      </c>
      <c r="I324" s="168" t="n">
        <f aca="false">C324*H324</f>
        <v>16.4</v>
      </c>
      <c r="J324" s="168" t="n">
        <f aca="false">C324*D324</f>
        <v>18.4</v>
      </c>
    </row>
    <row r="325" customFormat="false" ht="16.5" hidden="false" customHeight="true" outlineLevel="0" collapsed="false">
      <c r="B325" s="265"/>
      <c r="C325" s="203" t="n">
        <f aca="false">1*2</f>
        <v>2</v>
      </c>
      <c r="D325" s="203" t="n">
        <f aca="false">1.8+0.4+0.1</f>
        <v>2.3</v>
      </c>
      <c r="E325" s="266" t="n">
        <v>0.109</v>
      </c>
      <c r="F325" s="266"/>
      <c r="G325" s="238" t="n">
        <f aca="false">C325*D325*E325</f>
        <v>0.5014</v>
      </c>
      <c r="H325" s="168" t="n">
        <v>1.8</v>
      </c>
      <c r="I325" s="168" t="n">
        <f aca="false">C325*H325</f>
        <v>3.6</v>
      </c>
      <c r="J325" s="168" t="n">
        <f aca="false">C325*D325</f>
        <v>4.6</v>
      </c>
    </row>
    <row r="326" customFormat="false" ht="16.5" hidden="false" customHeight="true" outlineLevel="0" collapsed="false">
      <c r="B326" s="265"/>
      <c r="C326" s="203" t="n">
        <f aca="false">1*2</f>
        <v>2</v>
      </c>
      <c r="D326" s="203" t="n">
        <f aca="false">1.2+0.4+0.1</f>
        <v>1.7</v>
      </c>
      <c r="E326" s="266" t="n">
        <v>0.109</v>
      </c>
      <c r="F326" s="266"/>
      <c r="G326" s="238" t="n">
        <f aca="false">C326*D326*E326</f>
        <v>0.3706</v>
      </c>
      <c r="H326" s="168" t="n">
        <v>1.2</v>
      </c>
      <c r="I326" s="168" t="n">
        <f aca="false">C326*H326</f>
        <v>2.4</v>
      </c>
      <c r="J326" s="168" t="n">
        <f aca="false">C326*D326</f>
        <v>3.4</v>
      </c>
    </row>
    <row r="327" customFormat="false" ht="16.5" hidden="false" customHeight="true" outlineLevel="0" collapsed="false">
      <c r="B327" s="265"/>
      <c r="C327" s="203" t="n">
        <f aca="false">1*2</f>
        <v>2</v>
      </c>
      <c r="D327" s="203" t="n">
        <f aca="false">3.08+0.1+0.4</f>
        <v>3.58</v>
      </c>
      <c r="E327" s="266" t="n">
        <v>0.109</v>
      </c>
      <c r="F327" s="266"/>
      <c r="G327" s="238" t="n">
        <f aca="false">C327*D327*E327</f>
        <v>0.78044</v>
      </c>
      <c r="H327" s="168" t="n">
        <v>3.08</v>
      </c>
      <c r="I327" s="168" t="n">
        <f aca="false">C327*H327</f>
        <v>6.16</v>
      </c>
      <c r="J327" s="168" t="n">
        <f aca="false">C327*D327</f>
        <v>7.16</v>
      </c>
    </row>
    <row r="328" customFormat="false" ht="16.5" hidden="false" customHeight="true" outlineLevel="0" collapsed="false">
      <c r="B328" s="265" t="s">
        <v>209</v>
      </c>
      <c r="C328" s="203" t="n">
        <f aca="false">1*2</f>
        <v>2</v>
      </c>
      <c r="D328" s="203" t="n">
        <f aca="false">1.98+0.1+0.4</f>
        <v>2.48</v>
      </c>
      <c r="E328" s="266" t="n">
        <v>0.109</v>
      </c>
      <c r="F328" s="266"/>
      <c r="G328" s="238" t="n">
        <f aca="false">C328*D328*E328</f>
        <v>0.54064</v>
      </c>
      <c r="H328" s="168" t="n">
        <v>1.98</v>
      </c>
      <c r="I328" s="168" t="n">
        <f aca="false">C328*H328</f>
        <v>3.96</v>
      </c>
      <c r="J328" s="168" t="n">
        <f aca="false">C328*D328</f>
        <v>4.96</v>
      </c>
    </row>
    <row r="329" customFormat="false" ht="16.5" hidden="false" customHeight="true" outlineLevel="0" collapsed="false">
      <c r="B329" s="265"/>
      <c r="C329" s="203" t="n">
        <f aca="false">3*2</f>
        <v>6</v>
      </c>
      <c r="D329" s="203" t="n">
        <f aca="false">4.98+0.4+0.1</f>
        <v>5.48</v>
      </c>
      <c r="E329" s="266" t="n">
        <v>0.109</v>
      </c>
      <c r="F329" s="266"/>
      <c r="G329" s="238" t="n">
        <f aca="false">C329*D329*E329</f>
        <v>3.58392</v>
      </c>
      <c r="H329" s="168" t="n">
        <v>4.98</v>
      </c>
      <c r="I329" s="168" t="n">
        <f aca="false">C329*H329</f>
        <v>29.88</v>
      </c>
      <c r="J329" s="168" t="n">
        <f aca="false">C329*D329</f>
        <v>32.88</v>
      </c>
    </row>
    <row r="330" customFormat="false" ht="16.5" hidden="false" customHeight="true" outlineLevel="0" collapsed="false">
      <c r="B330" s="265"/>
      <c r="C330" s="203" t="n">
        <f aca="false">3*2</f>
        <v>6</v>
      </c>
      <c r="D330" s="203" t="n">
        <f aca="false">5.48+(0.1*2)</f>
        <v>5.68</v>
      </c>
      <c r="E330" s="266" t="n">
        <v>0.109</v>
      </c>
      <c r="F330" s="266"/>
      <c r="G330" s="238" t="n">
        <f aca="false">C330*D330*E330</f>
        <v>3.71472</v>
      </c>
      <c r="H330" s="168" t="n">
        <v>5.48</v>
      </c>
      <c r="I330" s="168" t="n">
        <f aca="false">C330*H330</f>
        <v>32.88</v>
      </c>
      <c r="J330" s="168" t="n">
        <f aca="false">C330*D330</f>
        <v>34.08</v>
      </c>
    </row>
    <row r="331" customFormat="false" ht="16.5" hidden="false" customHeight="true" outlineLevel="0" collapsed="false">
      <c r="B331" s="265" t="s">
        <v>210</v>
      </c>
      <c r="C331" s="203" t="n">
        <f aca="false">6*2</f>
        <v>12</v>
      </c>
      <c r="D331" s="203" t="n">
        <f aca="false">3.6+(0.4*2)</f>
        <v>4.4</v>
      </c>
      <c r="E331" s="266" t="n">
        <v>0.109</v>
      </c>
      <c r="F331" s="266"/>
      <c r="G331" s="238" t="n">
        <f aca="false">C331*D331*E331</f>
        <v>5.7552</v>
      </c>
      <c r="H331" s="168" t="n">
        <v>3.6</v>
      </c>
      <c r="I331" s="168" t="n">
        <f aca="false">C331*H331</f>
        <v>43.2</v>
      </c>
      <c r="J331" s="168" t="n">
        <f aca="false">C331*D331</f>
        <v>52.8</v>
      </c>
    </row>
    <row r="332" customFormat="false" ht="16.5" hidden="false" customHeight="true" outlineLevel="0" collapsed="false">
      <c r="B332" s="265"/>
      <c r="C332" s="203" t="n">
        <f aca="false">3*2</f>
        <v>6</v>
      </c>
      <c r="D332" s="203" t="n">
        <f aca="false">4.68+0.4+0.1</f>
        <v>5.18</v>
      </c>
      <c r="E332" s="266" t="n">
        <v>0.109</v>
      </c>
      <c r="F332" s="266"/>
      <c r="G332" s="238" t="n">
        <f aca="false">C332*D332*E332</f>
        <v>3.38772</v>
      </c>
      <c r="H332" s="168" t="n">
        <v>4.68</v>
      </c>
      <c r="I332" s="168" t="n">
        <f aca="false">C332*H332</f>
        <v>28.08</v>
      </c>
      <c r="J332" s="168" t="n">
        <f aca="false">C332*D332</f>
        <v>31.08</v>
      </c>
    </row>
    <row r="333" customFormat="false" ht="16.5" hidden="false" customHeight="true" outlineLevel="0" collapsed="false">
      <c r="B333" s="265" t="s">
        <v>211</v>
      </c>
      <c r="C333" s="203" t="n">
        <f aca="false">1*2</f>
        <v>2</v>
      </c>
      <c r="D333" s="203" t="n">
        <f aca="false">1.2+0.1+0.4</f>
        <v>1.7</v>
      </c>
      <c r="E333" s="266" t="n">
        <v>0.109</v>
      </c>
      <c r="F333" s="266"/>
      <c r="G333" s="238" t="n">
        <f aca="false">C333*D333*E333</f>
        <v>0.3706</v>
      </c>
      <c r="H333" s="168" t="n">
        <v>1.2</v>
      </c>
      <c r="I333" s="168" t="n">
        <f aca="false">C333*H333</f>
        <v>2.4</v>
      </c>
      <c r="J333" s="168" t="n">
        <f aca="false">C333*D333</f>
        <v>3.4</v>
      </c>
    </row>
    <row r="334" customFormat="false" ht="16.5" hidden="false" customHeight="true" outlineLevel="0" collapsed="false">
      <c r="B334" s="265"/>
      <c r="C334" s="203" t="n">
        <f aca="false">5*2</f>
        <v>10</v>
      </c>
      <c r="D334" s="203" t="n">
        <f aca="false">2.9+(0.1*2)</f>
        <v>3.1</v>
      </c>
      <c r="E334" s="266" t="n">
        <v>0.109</v>
      </c>
      <c r="F334" s="266"/>
      <c r="G334" s="238" t="n">
        <f aca="false">C334*D334*E334</f>
        <v>3.379</v>
      </c>
      <c r="H334" s="168" t="n">
        <v>2.9</v>
      </c>
      <c r="I334" s="168" t="n">
        <f aca="false">C334*H334</f>
        <v>29</v>
      </c>
      <c r="J334" s="168" t="n">
        <f aca="false">C334*D334</f>
        <v>31</v>
      </c>
    </row>
    <row r="335" customFormat="false" ht="16.5" hidden="false" customHeight="true" outlineLevel="0" collapsed="false">
      <c r="B335" s="265" t="s">
        <v>212</v>
      </c>
      <c r="C335" s="203" t="n">
        <f aca="false">2*2</f>
        <v>4</v>
      </c>
      <c r="D335" s="203" t="n">
        <f aca="false">3.1+(0.4*2)</f>
        <v>3.9</v>
      </c>
      <c r="E335" s="266" t="n">
        <v>0.109</v>
      </c>
      <c r="F335" s="266"/>
      <c r="G335" s="238" t="n">
        <f aca="false">C335*D335*E335</f>
        <v>1.7004</v>
      </c>
      <c r="H335" s="168" t="n">
        <v>3.1</v>
      </c>
      <c r="I335" s="168" t="n">
        <f aca="false">C335*H335</f>
        <v>12.4</v>
      </c>
      <c r="J335" s="168" t="n">
        <f aca="false">C335*D335</f>
        <v>15.6</v>
      </c>
    </row>
    <row r="336" customFormat="false" ht="16.5" hidden="false" customHeight="true" outlineLevel="0" collapsed="false">
      <c r="B336" s="265"/>
      <c r="C336" s="203" t="n">
        <f aca="false">2*2</f>
        <v>4</v>
      </c>
      <c r="D336" s="203" t="n">
        <f aca="false">2.5+(0.4*2)</f>
        <v>3.3</v>
      </c>
      <c r="E336" s="266" t="n">
        <v>0.109</v>
      </c>
      <c r="F336" s="266"/>
      <c r="G336" s="238" t="n">
        <f aca="false">C336*D336*E336</f>
        <v>1.4388</v>
      </c>
      <c r="H336" s="168" t="n">
        <v>2.5</v>
      </c>
      <c r="I336" s="168" t="n">
        <f aca="false">C336*H336</f>
        <v>10</v>
      </c>
      <c r="J336" s="168" t="n">
        <f aca="false">C336*D336</f>
        <v>13.2</v>
      </c>
    </row>
    <row r="337" customFormat="false" ht="16.5" hidden="false" customHeight="true" outlineLevel="0" collapsed="false">
      <c r="B337" s="268" t="s">
        <v>213</v>
      </c>
      <c r="C337" s="203" t="n">
        <f aca="false">2*2</f>
        <v>4</v>
      </c>
      <c r="D337" s="203" t="n">
        <f aca="false">1+0.1+0.4</f>
        <v>1.5</v>
      </c>
      <c r="E337" s="266" t="n">
        <v>0.109</v>
      </c>
      <c r="F337" s="266"/>
      <c r="G337" s="238" t="n">
        <f aca="false">C337*D337*E337</f>
        <v>0.654</v>
      </c>
      <c r="H337" s="168" t="n">
        <v>1</v>
      </c>
      <c r="I337" s="168" t="n">
        <f aca="false">C337*H337</f>
        <v>4</v>
      </c>
      <c r="J337" s="168" t="n">
        <f aca="false">C337*D337</f>
        <v>6</v>
      </c>
    </row>
    <row r="338" customFormat="false" ht="16.5" hidden="false" customHeight="true" outlineLevel="0" collapsed="false">
      <c r="B338" s="268" t="s">
        <v>214</v>
      </c>
      <c r="C338" s="203" t="n">
        <f aca="false">2*2</f>
        <v>4</v>
      </c>
      <c r="D338" s="203" t="n">
        <f aca="false">1.5+(2*0.1)</f>
        <v>1.7</v>
      </c>
      <c r="E338" s="266" t="n">
        <v>0.109</v>
      </c>
      <c r="F338" s="266"/>
      <c r="G338" s="238" t="n">
        <f aca="false">C338*D338*E338</f>
        <v>0.7412</v>
      </c>
      <c r="H338" s="168" t="n">
        <v>1.5</v>
      </c>
      <c r="I338" s="168" t="n">
        <f aca="false">C338*H338</f>
        <v>6</v>
      </c>
      <c r="J338" s="168" t="n">
        <f aca="false">C338*D338</f>
        <v>6.8</v>
      </c>
    </row>
    <row r="339" customFormat="false" ht="18.75" hidden="false" customHeight="true" outlineLevel="0" collapsed="false">
      <c r="B339" s="269" t="s">
        <v>215</v>
      </c>
      <c r="C339" s="269"/>
      <c r="D339" s="269"/>
      <c r="E339" s="269"/>
      <c r="F339" s="269"/>
      <c r="G339" s="270" t="n">
        <f aca="false">SUM(G295:G338)</f>
        <v>91.95676</v>
      </c>
      <c r="H339" s="218"/>
      <c r="I339" s="168" t="n">
        <f aca="false">SUM(I295:I338)</f>
        <v>719.84</v>
      </c>
      <c r="J339" s="168" t="n">
        <f aca="false">SUM(J295:J338)</f>
        <v>843.64</v>
      </c>
    </row>
    <row r="340" customFormat="false" ht="15" hidden="false" customHeight="false" outlineLevel="0" collapsed="false">
      <c r="C340" s="167"/>
      <c r="D340" s="167"/>
      <c r="F340" s="213"/>
      <c r="G340" s="218"/>
      <c r="H340" s="218"/>
    </row>
    <row r="341" customFormat="false" ht="15" hidden="false" customHeight="false" outlineLevel="0" collapsed="false">
      <c r="A341" s="261" t="s">
        <v>46</v>
      </c>
      <c r="B341" s="195" t="str">
        <f aca="false">'Composições '!C152</f>
        <v>Armação de laje de uma estrutura convencional de concreto armado em um edifício de múltiplos pavimentos utilizando aço ca-60 de 5,0 mm - montagem.</v>
      </c>
      <c r="C341" s="167"/>
      <c r="D341" s="167"/>
      <c r="F341" s="168"/>
    </row>
    <row r="342" customFormat="false" ht="15.75" hidden="false" customHeight="false" outlineLevel="0" collapsed="false">
      <c r="C342" s="167"/>
      <c r="D342" s="167"/>
    </row>
    <row r="343" customFormat="false" ht="16.5" hidden="false" customHeight="true" outlineLevel="0" collapsed="false">
      <c r="B343" s="262" t="s">
        <v>91</v>
      </c>
      <c r="C343" s="186" t="s">
        <v>109</v>
      </c>
      <c r="D343" s="215" t="s">
        <v>94</v>
      </c>
      <c r="E343" s="263" t="s">
        <v>197</v>
      </c>
      <c r="F343" s="263"/>
      <c r="G343" s="236" t="s">
        <v>198</v>
      </c>
      <c r="H343" s="264"/>
    </row>
    <row r="344" customFormat="false" ht="16.5" hidden="false" customHeight="true" outlineLevel="0" collapsed="false">
      <c r="B344" s="268" t="s">
        <v>213</v>
      </c>
      <c r="C344" s="203" t="n">
        <f aca="false">2*3</f>
        <v>6</v>
      </c>
      <c r="D344" s="203" t="n">
        <f aca="false">1+0.1+0.4</f>
        <v>1.5</v>
      </c>
      <c r="E344" s="266" t="n">
        <v>0.154</v>
      </c>
      <c r="F344" s="266"/>
      <c r="G344" s="238" t="n">
        <f aca="false">C344*D344*E344</f>
        <v>1.386</v>
      </c>
      <c r="H344" s="239" t="n">
        <v>1</v>
      </c>
      <c r="I344" s="168" t="n">
        <f aca="false">C344*H344</f>
        <v>6</v>
      </c>
      <c r="J344" s="168" t="n">
        <f aca="false">C344*D344</f>
        <v>9</v>
      </c>
    </row>
    <row r="345" customFormat="false" ht="16.5" hidden="false" customHeight="true" outlineLevel="0" collapsed="false">
      <c r="B345" s="268" t="s">
        <v>214</v>
      </c>
      <c r="C345" s="203" t="n">
        <f aca="false">2*3</f>
        <v>6</v>
      </c>
      <c r="D345" s="203" t="n">
        <f aca="false">1.5+(2*0.1)</f>
        <v>1.7</v>
      </c>
      <c r="E345" s="266" t="n">
        <v>0.154</v>
      </c>
      <c r="F345" s="266"/>
      <c r="G345" s="238" t="n">
        <f aca="false">C345*D345*E345</f>
        <v>1.5708</v>
      </c>
      <c r="H345" s="239" t="n">
        <v>1.5</v>
      </c>
      <c r="I345" s="168" t="n">
        <f aca="false">C345*H345</f>
        <v>9</v>
      </c>
      <c r="J345" s="168" t="n">
        <f aca="false">C345*D345</f>
        <v>10.2</v>
      </c>
    </row>
    <row r="346" customFormat="false" ht="15.75" hidden="false" customHeight="false" outlineLevel="0" collapsed="false">
      <c r="B346" s="269" t="s">
        <v>215</v>
      </c>
      <c r="C346" s="269"/>
      <c r="D346" s="269"/>
      <c r="E346" s="269"/>
      <c r="F346" s="269"/>
      <c r="G346" s="270" t="n">
        <f aca="false">SUM(G344:G345)</f>
        <v>2.9568</v>
      </c>
      <c r="H346" s="218"/>
      <c r="I346" s="168" t="n">
        <f aca="false">SUM(I344:I345)</f>
        <v>15</v>
      </c>
      <c r="J346" s="168" t="n">
        <f aca="false">SUM(J344:J345)</f>
        <v>19.2</v>
      </c>
    </row>
    <row r="347" customFormat="false" ht="15" hidden="false" customHeight="false" outlineLevel="0" collapsed="false">
      <c r="C347" s="167"/>
      <c r="D347" s="167"/>
    </row>
    <row r="348" customFormat="false" ht="15" hidden="false" customHeight="false" outlineLevel="0" collapsed="false">
      <c r="A348" s="261" t="s">
        <v>47</v>
      </c>
      <c r="B348" s="195" t="str">
        <f aca="false">'Composições '!C162</f>
        <v>Armação de laje de uma estrutura convencional de concreto armado em um edifício de múltiplos pavimentos utilizando aço ca-50 de 6,3 mm - montagem. </v>
      </c>
      <c r="C348" s="167"/>
      <c r="D348" s="167"/>
      <c r="F348" s="168"/>
    </row>
    <row r="349" customFormat="false" ht="15.75" hidden="false" customHeight="false" outlineLevel="0" collapsed="false">
      <c r="C349" s="264"/>
      <c r="D349" s="264"/>
      <c r="E349" s="264"/>
    </row>
    <row r="350" customFormat="false" ht="16.5" hidden="false" customHeight="true" outlineLevel="0" collapsed="false">
      <c r="B350" s="262" t="s">
        <v>91</v>
      </c>
      <c r="C350" s="186" t="s">
        <v>109</v>
      </c>
      <c r="D350" s="215" t="s">
        <v>94</v>
      </c>
      <c r="E350" s="263" t="s">
        <v>197</v>
      </c>
      <c r="F350" s="263"/>
      <c r="G350" s="236" t="s">
        <v>198</v>
      </c>
      <c r="H350" s="264"/>
    </row>
    <row r="351" customFormat="false" ht="16.5" hidden="false" customHeight="true" outlineLevel="0" collapsed="false">
      <c r="B351" s="265" t="s">
        <v>211</v>
      </c>
      <c r="C351" s="203" t="n">
        <f aca="false">1*2</f>
        <v>2</v>
      </c>
      <c r="D351" s="203" t="n">
        <f aca="false">1.2+0.1+0.4</f>
        <v>1.7</v>
      </c>
      <c r="E351" s="266" t="n">
        <v>0.245</v>
      </c>
      <c r="F351" s="266"/>
      <c r="G351" s="238" t="n">
        <f aca="false">C351*D351*E351</f>
        <v>0.833</v>
      </c>
      <c r="H351" s="239" t="n">
        <v>1.2</v>
      </c>
      <c r="I351" s="168" t="n">
        <f aca="false">C351*H351</f>
        <v>2.4</v>
      </c>
      <c r="J351" s="168" t="n">
        <f aca="false">C351*D351</f>
        <v>3.4</v>
      </c>
    </row>
    <row r="352" customFormat="false" ht="16.5" hidden="false" customHeight="true" outlineLevel="0" collapsed="false">
      <c r="B352" s="265"/>
      <c r="C352" s="203" t="n">
        <f aca="false">5*2</f>
        <v>10</v>
      </c>
      <c r="D352" s="203" t="n">
        <f aca="false">2.9+(0.1*2)</f>
        <v>3.1</v>
      </c>
      <c r="E352" s="266" t="n">
        <v>0.245</v>
      </c>
      <c r="F352" s="266"/>
      <c r="G352" s="238" t="n">
        <f aca="false">C352*D352*E352</f>
        <v>7.595</v>
      </c>
      <c r="H352" s="239" t="n">
        <v>2.9</v>
      </c>
      <c r="I352" s="168" t="n">
        <f aca="false">C352*H352</f>
        <v>29</v>
      </c>
      <c r="J352" s="168" t="n">
        <f aca="false">C352*D352</f>
        <v>31</v>
      </c>
    </row>
    <row r="353" customFormat="false" ht="16.5" hidden="false" customHeight="true" outlineLevel="0" collapsed="false">
      <c r="B353" s="265" t="s">
        <v>212</v>
      </c>
      <c r="C353" s="203" t="n">
        <f aca="false">2*2</f>
        <v>4</v>
      </c>
      <c r="D353" s="203" t="n">
        <f aca="false">3.1+(0.4*2)</f>
        <v>3.9</v>
      </c>
      <c r="E353" s="266" t="n">
        <v>0.245</v>
      </c>
      <c r="F353" s="266"/>
      <c r="G353" s="238" t="n">
        <f aca="false">C353*D353*E353</f>
        <v>3.822</v>
      </c>
      <c r="H353" s="239" t="n">
        <v>3.1</v>
      </c>
      <c r="I353" s="168" t="n">
        <f aca="false">C353*H353</f>
        <v>12.4</v>
      </c>
      <c r="J353" s="168" t="n">
        <f aca="false">C353*D353</f>
        <v>15.6</v>
      </c>
    </row>
    <row r="354" customFormat="false" ht="16.5" hidden="false" customHeight="true" outlineLevel="0" collapsed="false">
      <c r="B354" s="265"/>
      <c r="C354" s="203" t="n">
        <f aca="false">2*2</f>
        <v>4</v>
      </c>
      <c r="D354" s="203" t="n">
        <f aca="false">2.5+(0.4*2)</f>
        <v>3.3</v>
      </c>
      <c r="E354" s="266" t="n">
        <v>0.245</v>
      </c>
      <c r="F354" s="266"/>
      <c r="G354" s="238" t="n">
        <f aca="false">C354*D354*E354</f>
        <v>3.234</v>
      </c>
      <c r="H354" s="239" t="n">
        <v>2.5</v>
      </c>
      <c r="I354" s="168" t="n">
        <f aca="false">C354*H354</f>
        <v>10</v>
      </c>
      <c r="J354" s="168" t="n">
        <f aca="false">C354*D354</f>
        <v>13.2</v>
      </c>
    </row>
    <row r="355" customFormat="false" ht="15.75" hidden="false" customHeight="false" outlineLevel="0" collapsed="false">
      <c r="B355" s="269" t="s">
        <v>215</v>
      </c>
      <c r="C355" s="269"/>
      <c r="D355" s="269"/>
      <c r="E355" s="269"/>
      <c r="F355" s="269"/>
      <c r="G355" s="270" t="n">
        <f aca="false">SUM(G351:G354)</f>
        <v>15.484</v>
      </c>
      <c r="H355" s="218"/>
      <c r="I355" s="168" t="n">
        <f aca="false">SUM(I351:I354)</f>
        <v>53.8</v>
      </c>
      <c r="J355" s="168" t="n">
        <f aca="false">SUM(J351:J354)</f>
        <v>63.2</v>
      </c>
    </row>
    <row r="356" customFormat="false" ht="15" hidden="false" customHeight="false" outlineLevel="0" collapsed="false">
      <c r="C356" s="168"/>
      <c r="D356" s="168"/>
      <c r="E356" s="168"/>
    </row>
    <row r="357" s="168" customFormat="true" ht="15" hidden="false" customHeight="false" outlineLevel="0" collapsed="false">
      <c r="A357" s="261" t="s">
        <v>48</v>
      </c>
      <c r="B357" s="195" t="str">
        <f aca="false">'Composições '!C172</f>
        <v>Armação de laje de uma estrutura convencional de concreto armado em um edifício de múltiplos pavimentos utilizando aço ca-50 de 8,0 mm - montagem. </v>
      </c>
    </row>
    <row r="358" customFormat="false" ht="15.75" hidden="false" customHeight="false" outlineLevel="0" collapsed="false">
      <c r="C358" s="168"/>
      <c r="D358" s="168"/>
      <c r="E358" s="168"/>
    </row>
    <row r="359" customFormat="false" ht="16.5" hidden="false" customHeight="true" outlineLevel="0" collapsed="false">
      <c r="B359" s="262" t="s">
        <v>91</v>
      </c>
      <c r="C359" s="186" t="s">
        <v>109</v>
      </c>
      <c r="D359" s="215" t="s">
        <v>94</v>
      </c>
      <c r="E359" s="263" t="s">
        <v>197</v>
      </c>
      <c r="F359" s="263"/>
      <c r="G359" s="236" t="s">
        <v>198</v>
      </c>
      <c r="H359" s="271"/>
    </row>
    <row r="360" customFormat="false" ht="16.5" hidden="false" customHeight="true" outlineLevel="0" collapsed="false">
      <c r="B360" s="265" t="s">
        <v>199</v>
      </c>
      <c r="C360" s="237" t="n">
        <f aca="false">3*3</f>
        <v>9</v>
      </c>
      <c r="D360" s="199" t="n">
        <f aca="false">2.23+0.12+0.4</f>
        <v>2.75</v>
      </c>
      <c r="E360" s="266" t="n">
        <v>0.395</v>
      </c>
      <c r="F360" s="266"/>
      <c r="G360" s="238" t="n">
        <f aca="false">C360*D360*E360</f>
        <v>9.77625</v>
      </c>
      <c r="H360" s="239" t="n">
        <v>2.23</v>
      </c>
      <c r="I360" s="168" t="n">
        <f aca="false">C360*H360</f>
        <v>20.07</v>
      </c>
      <c r="J360" s="168" t="n">
        <f aca="false">C360*D360</f>
        <v>24.75</v>
      </c>
    </row>
    <row r="361" customFormat="false" ht="16.5" hidden="false" customHeight="true" outlineLevel="0" collapsed="false">
      <c r="B361" s="265"/>
      <c r="C361" s="203" t="n">
        <f aca="false">4*3</f>
        <v>12</v>
      </c>
      <c r="D361" s="203" t="n">
        <f aca="false">1.9+(0.4*2)</f>
        <v>2.7</v>
      </c>
      <c r="E361" s="266" t="n">
        <v>0.395</v>
      </c>
      <c r="F361" s="266"/>
      <c r="G361" s="238" t="n">
        <f aca="false">C361*D361*E361</f>
        <v>12.798</v>
      </c>
      <c r="H361" s="239" t="n">
        <v>1.9</v>
      </c>
      <c r="I361" s="168" t="n">
        <f aca="false">C361*H361</f>
        <v>22.8</v>
      </c>
      <c r="J361" s="168" t="n">
        <f aca="false">C361*D361</f>
        <v>32.4</v>
      </c>
    </row>
    <row r="362" customFormat="false" ht="16.5" hidden="false" customHeight="true" outlineLevel="0" collapsed="false">
      <c r="B362" s="265" t="s">
        <v>200</v>
      </c>
      <c r="C362" s="203" t="n">
        <f aca="false">4*3</f>
        <v>12</v>
      </c>
      <c r="D362" s="203" t="n">
        <f aca="false">1.3+(0.4*2)</f>
        <v>2.1</v>
      </c>
      <c r="E362" s="266" t="n">
        <v>0.395</v>
      </c>
      <c r="F362" s="266"/>
      <c r="G362" s="238" t="n">
        <f aca="false">C362*D362*E362</f>
        <v>9.954</v>
      </c>
      <c r="H362" s="239" t="n">
        <v>1.3</v>
      </c>
      <c r="I362" s="168" t="n">
        <f aca="false">C362*H362</f>
        <v>15.6</v>
      </c>
      <c r="J362" s="168" t="n">
        <f aca="false">C362*D362</f>
        <v>25.2</v>
      </c>
    </row>
    <row r="363" customFormat="false" ht="16.5" hidden="false" customHeight="true" outlineLevel="0" collapsed="false">
      <c r="B363" s="265"/>
      <c r="C363" s="203" t="n">
        <f aca="false">4*3</f>
        <v>12</v>
      </c>
      <c r="D363" s="203" t="n">
        <f aca="false">1.98+0.12+0.4</f>
        <v>2.5</v>
      </c>
      <c r="E363" s="266" t="n">
        <v>0.395</v>
      </c>
      <c r="F363" s="266"/>
      <c r="G363" s="238" t="n">
        <f aca="false">C363*D363*E363</f>
        <v>11.85</v>
      </c>
      <c r="H363" s="239" t="n">
        <v>1.98</v>
      </c>
      <c r="I363" s="168" t="n">
        <f aca="false">C363*H363</f>
        <v>23.76</v>
      </c>
      <c r="J363" s="168" t="n">
        <f aca="false">C363*D363</f>
        <v>30</v>
      </c>
    </row>
    <row r="364" customFormat="false" ht="16.5" hidden="false" customHeight="true" outlineLevel="0" collapsed="false">
      <c r="B364" s="265" t="s">
        <v>201</v>
      </c>
      <c r="C364" s="203" t="n">
        <f aca="false">3*3</f>
        <v>9</v>
      </c>
      <c r="D364" s="203" t="n">
        <f aca="false">4.03+0.12+0.4</f>
        <v>4.55</v>
      </c>
      <c r="E364" s="266" t="n">
        <v>0.395</v>
      </c>
      <c r="F364" s="266"/>
      <c r="G364" s="238" t="n">
        <f aca="false">C364*D364*E364</f>
        <v>16.17525</v>
      </c>
      <c r="H364" s="239" t="n">
        <v>4.03</v>
      </c>
      <c r="I364" s="168" t="n">
        <f aca="false">C364*H364</f>
        <v>36.27</v>
      </c>
      <c r="J364" s="168" t="n">
        <f aca="false">C364*D364</f>
        <v>40.95</v>
      </c>
    </row>
    <row r="365" customFormat="false" ht="16.5" hidden="false" customHeight="true" outlineLevel="0" collapsed="false">
      <c r="B365" s="265"/>
      <c r="C365" s="203" t="n">
        <f aca="false">1*3</f>
        <v>3</v>
      </c>
      <c r="D365" s="203" t="n">
        <f aca="false">5.73+(0.12*2)</f>
        <v>5.97</v>
      </c>
      <c r="E365" s="266" t="n">
        <v>0.395</v>
      </c>
      <c r="F365" s="266"/>
      <c r="G365" s="238" t="n">
        <f aca="false">C365*D365*E365</f>
        <v>7.07445</v>
      </c>
      <c r="H365" s="239" t="n">
        <v>5.73</v>
      </c>
      <c r="I365" s="168" t="n">
        <f aca="false">C365*H365</f>
        <v>17.19</v>
      </c>
      <c r="J365" s="168" t="n">
        <f aca="false">C365*D365</f>
        <v>17.91</v>
      </c>
    </row>
    <row r="366" customFormat="false" ht="16.5" hidden="false" customHeight="true" outlineLevel="0" collapsed="false">
      <c r="B366" s="265"/>
      <c r="C366" s="203" t="n">
        <f aca="false">3*3</f>
        <v>9</v>
      </c>
      <c r="D366" s="203" t="n">
        <f aca="false">4.63+0.12+0.4</f>
        <v>5.15</v>
      </c>
      <c r="E366" s="266" t="n">
        <v>0.395</v>
      </c>
      <c r="F366" s="266"/>
      <c r="G366" s="238" t="n">
        <f aca="false">C366*D366*E366</f>
        <v>18.30825</v>
      </c>
      <c r="H366" s="239" t="n">
        <v>4.63</v>
      </c>
      <c r="I366" s="168" t="n">
        <f aca="false">C366*H366</f>
        <v>41.67</v>
      </c>
      <c r="J366" s="168" t="n">
        <f aca="false">C366*D366</f>
        <v>46.35</v>
      </c>
    </row>
    <row r="367" customFormat="false" ht="16.5" hidden="false" customHeight="true" outlineLevel="0" collapsed="false">
      <c r="B367" s="265" t="s">
        <v>202</v>
      </c>
      <c r="C367" s="203" t="n">
        <f aca="false">7*3</f>
        <v>21</v>
      </c>
      <c r="D367" s="203" t="n">
        <f aca="false">4.2+0.4+0.12</f>
        <v>4.72</v>
      </c>
      <c r="E367" s="266" t="n">
        <v>0.395</v>
      </c>
      <c r="F367" s="266"/>
      <c r="G367" s="238" t="n">
        <f aca="false">C367*D367*E367</f>
        <v>39.1524</v>
      </c>
      <c r="H367" s="239" t="n">
        <v>4.2</v>
      </c>
      <c r="I367" s="168" t="n">
        <f aca="false">C367*H367</f>
        <v>88.2</v>
      </c>
      <c r="J367" s="168" t="n">
        <f aca="false">C367*D367</f>
        <v>99.12</v>
      </c>
    </row>
    <row r="368" customFormat="false" ht="16.5" hidden="false" customHeight="true" outlineLevel="0" collapsed="false">
      <c r="B368" s="265"/>
      <c r="C368" s="203" t="n">
        <f aca="false">1*3</f>
        <v>3</v>
      </c>
      <c r="D368" s="203" t="n">
        <f aca="false">2.4+(0.4*2)</f>
        <v>3.2</v>
      </c>
      <c r="E368" s="266" t="n">
        <v>0.395</v>
      </c>
      <c r="F368" s="266"/>
      <c r="G368" s="238" t="n">
        <f aca="false">C368*D368*E368</f>
        <v>3.792</v>
      </c>
      <c r="H368" s="239" t="n">
        <v>2.4</v>
      </c>
      <c r="I368" s="168" t="n">
        <f aca="false">C368*H368</f>
        <v>7.2</v>
      </c>
      <c r="J368" s="168" t="n">
        <f aca="false">C368*D368</f>
        <v>9.6</v>
      </c>
    </row>
    <row r="369" customFormat="false" ht="16.5" hidden="false" customHeight="true" outlineLevel="0" collapsed="false">
      <c r="B369" s="265"/>
      <c r="C369" s="203" t="n">
        <f aca="false">1*3</f>
        <v>3</v>
      </c>
      <c r="D369" s="203" t="n">
        <f aca="false">1.1+(0.4*2)</f>
        <v>1.9</v>
      </c>
      <c r="E369" s="266" t="n">
        <v>0.395</v>
      </c>
      <c r="F369" s="266"/>
      <c r="G369" s="238" t="n">
        <f aca="false">C369*D369*E369</f>
        <v>2.2515</v>
      </c>
      <c r="H369" s="239" t="n">
        <v>1.1</v>
      </c>
      <c r="I369" s="168" t="n">
        <f aca="false">C369*H369</f>
        <v>3.3</v>
      </c>
      <c r="J369" s="168" t="n">
        <f aca="false">C369*D369</f>
        <v>5.7</v>
      </c>
    </row>
    <row r="370" customFormat="false" ht="16.5" hidden="false" customHeight="true" outlineLevel="0" collapsed="false">
      <c r="B370" s="267" t="s">
        <v>203</v>
      </c>
      <c r="C370" s="203" t="n">
        <f aca="false">3*3</f>
        <v>9</v>
      </c>
      <c r="D370" s="203" t="n">
        <f aca="false">2.23+0.12+0.4</f>
        <v>2.75</v>
      </c>
      <c r="E370" s="266" t="n">
        <v>0.395</v>
      </c>
      <c r="F370" s="266"/>
      <c r="G370" s="238" t="n">
        <f aca="false">C370*D370*E370</f>
        <v>9.77625</v>
      </c>
      <c r="H370" s="239" t="n">
        <v>2.23</v>
      </c>
      <c r="I370" s="168" t="n">
        <f aca="false">C370*H370</f>
        <v>20.07</v>
      </c>
      <c r="J370" s="168" t="n">
        <f aca="false">C370*D370</f>
        <v>24.75</v>
      </c>
    </row>
    <row r="371" customFormat="false" ht="16.5" hidden="false" customHeight="true" outlineLevel="0" collapsed="false">
      <c r="B371" s="267"/>
      <c r="C371" s="203" t="n">
        <f aca="false">3*3</f>
        <v>9</v>
      </c>
      <c r="D371" s="203" t="n">
        <f aca="false">2.3+0.4+0.12</f>
        <v>2.82</v>
      </c>
      <c r="E371" s="266" t="n">
        <v>0.395</v>
      </c>
      <c r="F371" s="266"/>
      <c r="G371" s="238" t="n">
        <f aca="false">C371*D371*E371</f>
        <v>10.0251</v>
      </c>
      <c r="H371" s="239" t="n">
        <v>2.3</v>
      </c>
      <c r="I371" s="168" t="n">
        <f aca="false">C371*H371</f>
        <v>20.7</v>
      </c>
      <c r="J371" s="168" t="n">
        <f aca="false">C371*D371</f>
        <v>25.38</v>
      </c>
    </row>
    <row r="372" customFormat="false" ht="16.5" hidden="false" customHeight="true" outlineLevel="0" collapsed="false">
      <c r="B372" s="267"/>
      <c r="C372" s="203" t="n">
        <f aca="false">3*3</f>
        <v>9</v>
      </c>
      <c r="D372" s="203" t="n">
        <f aca="false">5.73+(0.12*2)</f>
        <v>5.97</v>
      </c>
      <c r="E372" s="266" t="n">
        <v>0.395</v>
      </c>
      <c r="F372" s="266"/>
      <c r="G372" s="238" t="n">
        <f aca="false">C372*D372*E372</f>
        <v>21.22335</v>
      </c>
      <c r="H372" s="239" t="n">
        <v>5.73</v>
      </c>
      <c r="I372" s="168" t="n">
        <f aca="false">C372*H372</f>
        <v>51.57</v>
      </c>
      <c r="J372" s="168" t="n">
        <f aca="false">C372*D372</f>
        <v>53.73</v>
      </c>
    </row>
    <row r="373" customFormat="false" ht="16.5" hidden="false" customHeight="true" outlineLevel="0" collapsed="false">
      <c r="B373" s="267" t="s">
        <v>204</v>
      </c>
      <c r="C373" s="203" t="n">
        <f aca="false">4*3</f>
        <v>12</v>
      </c>
      <c r="D373" s="203" t="n">
        <f aca="false">3.6+(0.4*2)</f>
        <v>4.4</v>
      </c>
      <c r="E373" s="266" t="n">
        <v>0.395</v>
      </c>
      <c r="F373" s="266"/>
      <c r="G373" s="238" t="n">
        <f aca="false">C373*D373*E373</f>
        <v>20.856</v>
      </c>
      <c r="H373" s="239" t="n">
        <v>3.6</v>
      </c>
      <c r="I373" s="168" t="n">
        <f aca="false">C373*H373</f>
        <v>43.2</v>
      </c>
      <c r="J373" s="168" t="n">
        <f aca="false">C373*D373</f>
        <v>52.8</v>
      </c>
    </row>
    <row r="374" customFormat="false" ht="16.5" hidden="false" customHeight="true" outlineLevel="0" collapsed="false">
      <c r="B374" s="267"/>
      <c r="C374" s="203" t="n">
        <f aca="false">3*3</f>
        <v>9</v>
      </c>
      <c r="D374" s="203" t="n">
        <f aca="false">1.8+(0.4*2)</f>
        <v>2.6</v>
      </c>
      <c r="E374" s="266" t="n">
        <v>0.395</v>
      </c>
      <c r="F374" s="266"/>
      <c r="G374" s="238" t="n">
        <f aca="false">C374*D374*E374</f>
        <v>9.243</v>
      </c>
      <c r="H374" s="239" t="n">
        <v>1.8</v>
      </c>
      <c r="I374" s="168" t="n">
        <f aca="false">C374*H374</f>
        <v>16.2</v>
      </c>
      <c r="J374" s="168" t="n">
        <f aca="false">C374*D374</f>
        <v>23.4</v>
      </c>
    </row>
    <row r="375" customFormat="false" ht="16.5" hidden="false" customHeight="true" outlineLevel="0" collapsed="false">
      <c r="B375" s="267"/>
      <c r="C375" s="203" t="n">
        <f aca="false">2*3</f>
        <v>6</v>
      </c>
      <c r="D375" s="203" t="n">
        <f aca="false">3.6+(0.4*2)</f>
        <v>4.4</v>
      </c>
      <c r="E375" s="266" t="n">
        <v>0.395</v>
      </c>
      <c r="F375" s="266"/>
      <c r="G375" s="238" t="n">
        <f aca="false">C375*D375*E375</f>
        <v>10.428</v>
      </c>
      <c r="H375" s="239" t="n">
        <v>3.6</v>
      </c>
      <c r="I375" s="168" t="n">
        <f aca="false">C375*H375</f>
        <v>21.6</v>
      </c>
      <c r="J375" s="168" t="n">
        <f aca="false">C375*D375</f>
        <v>26.4</v>
      </c>
    </row>
    <row r="376" customFormat="false" ht="16.5" hidden="false" customHeight="true" outlineLevel="0" collapsed="false">
      <c r="B376" s="267"/>
      <c r="C376" s="203" t="n">
        <f aca="false">1*3</f>
        <v>3</v>
      </c>
      <c r="D376" s="203" t="n">
        <f aca="false">1.3+(0.4*2)</f>
        <v>2.1</v>
      </c>
      <c r="E376" s="266" t="n">
        <v>0.395</v>
      </c>
      <c r="F376" s="266"/>
      <c r="G376" s="238" t="n">
        <f aca="false">C376*D376*E376</f>
        <v>2.4885</v>
      </c>
      <c r="H376" s="239" t="n">
        <v>1.3</v>
      </c>
      <c r="I376" s="168" t="n">
        <f aca="false">C376*H376</f>
        <v>3.9</v>
      </c>
      <c r="J376" s="168" t="n">
        <f aca="false">C376*D376</f>
        <v>6.3</v>
      </c>
    </row>
    <row r="377" customFormat="false" ht="16.5" hidden="false" customHeight="true" outlineLevel="0" collapsed="false">
      <c r="B377" s="265" t="s">
        <v>205</v>
      </c>
      <c r="C377" s="203" t="n">
        <f aca="false">2*3</f>
        <v>6</v>
      </c>
      <c r="D377" s="203" t="n">
        <f aca="false">2.5+(0.4*2)</f>
        <v>3.3</v>
      </c>
      <c r="E377" s="266" t="n">
        <v>0.395</v>
      </c>
      <c r="F377" s="266"/>
      <c r="G377" s="238" t="n">
        <f aca="false">C377*D377*E377</f>
        <v>7.821</v>
      </c>
      <c r="H377" s="239" t="n">
        <v>2.5</v>
      </c>
      <c r="I377" s="168" t="n">
        <f aca="false">C377*H377</f>
        <v>15</v>
      </c>
      <c r="J377" s="168" t="n">
        <f aca="false">C377*D377</f>
        <v>19.8</v>
      </c>
    </row>
    <row r="378" customFormat="false" ht="16.5" hidden="false" customHeight="true" outlineLevel="0" collapsed="false">
      <c r="B378" s="265"/>
      <c r="C378" s="203" t="n">
        <f aca="false">1*3</f>
        <v>3</v>
      </c>
      <c r="D378" s="203" t="n">
        <f aca="false">3.6+(0.4*2)</f>
        <v>4.4</v>
      </c>
      <c r="E378" s="266" t="n">
        <v>0.395</v>
      </c>
      <c r="F378" s="266"/>
      <c r="G378" s="238" t="n">
        <f aca="false">C378*D378*E378</f>
        <v>5.214</v>
      </c>
      <c r="H378" s="239" t="n">
        <v>3.6</v>
      </c>
      <c r="I378" s="168" t="n">
        <f aca="false">C378*H378</f>
        <v>10.8</v>
      </c>
      <c r="J378" s="168" t="n">
        <f aca="false">C378*D378</f>
        <v>13.2</v>
      </c>
    </row>
    <row r="379" customFormat="false" ht="16.5" hidden="false" customHeight="true" outlineLevel="0" collapsed="false">
      <c r="B379" s="265"/>
      <c r="C379" s="203" t="n">
        <f aca="false">2*3</f>
        <v>6</v>
      </c>
      <c r="D379" s="203" t="n">
        <f aca="false">2.9+(0.4*2)</f>
        <v>3.7</v>
      </c>
      <c r="E379" s="266" t="n">
        <v>0.395</v>
      </c>
      <c r="F379" s="266"/>
      <c r="G379" s="238" t="n">
        <f aca="false">C379*D379*E379</f>
        <v>8.769</v>
      </c>
      <c r="H379" s="239" t="n">
        <v>2.9</v>
      </c>
      <c r="I379" s="168" t="n">
        <f aca="false">C379*H379</f>
        <v>17.4</v>
      </c>
      <c r="J379" s="168" t="n">
        <f aca="false">C379*D379</f>
        <v>22.2</v>
      </c>
    </row>
    <row r="380" customFormat="false" ht="16.5" hidden="false" customHeight="true" outlineLevel="0" collapsed="false">
      <c r="B380" s="265" t="s">
        <v>206</v>
      </c>
      <c r="C380" s="203" t="n">
        <f aca="false">1*3</f>
        <v>3</v>
      </c>
      <c r="D380" s="203" t="n">
        <f aca="false">1.38+0.4+0.12</f>
        <v>1.9</v>
      </c>
      <c r="E380" s="266" t="n">
        <v>0.395</v>
      </c>
      <c r="F380" s="266"/>
      <c r="G380" s="238" t="n">
        <f aca="false">C380*D380*E380</f>
        <v>2.2515</v>
      </c>
      <c r="H380" s="239" t="n">
        <v>1.38</v>
      </c>
      <c r="I380" s="168" t="n">
        <f aca="false">C380*H380</f>
        <v>4.14</v>
      </c>
      <c r="J380" s="168" t="n">
        <f aca="false">C380*D380</f>
        <v>5.7</v>
      </c>
    </row>
    <row r="381" customFormat="false" ht="16.5" hidden="false" customHeight="true" outlineLevel="0" collapsed="false">
      <c r="B381" s="265"/>
      <c r="C381" s="203" t="n">
        <f aca="false">3*3</f>
        <v>9</v>
      </c>
      <c r="D381" s="203" t="n">
        <f aca="false">3.08+0.4+0.12</f>
        <v>3.6</v>
      </c>
      <c r="E381" s="266" t="n">
        <v>0.395</v>
      </c>
      <c r="F381" s="266"/>
      <c r="G381" s="238" t="n">
        <f aca="false">C381*D381*E381</f>
        <v>12.798</v>
      </c>
      <c r="H381" s="239" t="n">
        <v>3.08</v>
      </c>
      <c r="I381" s="168" t="n">
        <f aca="false">C381*H381</f>
        <v>27.72</v>
      </c>
      <c r="J381" s="168" t="n">
        <f aca="false">C381*D381</f>
        <v>32.4</v>
      </c>
    </row>
    <row r="382" customFormat="false" ht="16.5" hidden="false" customHeight="true" outlineLevel="0" collapsed="false">
      <c r="B382" s="265"/>
      <c r="C382" s="203" t="n">
        <f aca="false">2*3</f>
        <v>6</v>
      </c>
      <c r="D382" s="203" t="n">
        <f aca="false">1.8+(0.4*2)</f>
        <v>2.6</v>
      </c>
      <c r="E382" s="266" t="n">
        <v>0.395</v>
      </c>
      <c r="F382" s="266"/>
      <c r="G382" s="238" t="n">
        <f aca="false">C382*D382*E382</f>
        <v>6.162</v>
      </c>
      <c r="H382" s="239" t="n">
        <v>1.08</v>
      </c>
      <c r="I382" s="168" t="n">
        <f aca="false">C382*H382</f>
        <v>6.48</v>
      </c>
      <c r="J382" s="168" t="n">
        <f aca="false">C382*D382</f>
        <v>15.6</v>
      </c>
    </row>
    <row r="383" customFormat="false" ht="16.5" hidden="false" customHeight="true" outlineLevel="0" collapsed="false">
      <c r="B383" s="265" t="s">
        <v>207</v>
      </c>
      <c r="C383" s="203" t="n">
        <f aca="false">5*3</f>
        <v>15</v>
      </c>
      <c r="D383" s="203" t="n">
        <f aca="false">5.48+(0.12*2)</f>
        <v>5.72</v>
      </c>
      <c r="E383" s="266" t="n">
        <v>0.395</v>
      </c>
      <c r="F383" s="266"/>
      <c r="G383" s="238" t="n">
        <f aca="false">C383*D383*E383</f>
        <v>33.891</v>
      </c>
      <c r="H383" s="239" t="n">
        <v>5.48</v>
      </c>
      <c r="I383" s="168" t="n">
        <f aca="false">C383*H383</f>
        <v>82.2</v>
      </c>
      <c r="J383" s="168" t="n">
        <f aca="false">C383*D383</f>
        <v>85.8</v>
      </c>
    </row>
    <row r="384" customFormat="false" ht="16.5" hidden="false" customHeight="true" outlineLevel="0" collapsed="false">
      <c r="B384" s="265"/>
      <c r="C384" s="203" t="n">
        <f aca="false">1*3</f>
        <v>3</v>
      </c>
      <c r="D384" s="203" t="n">
        <f aca="false">4.8+0.12+0.4</f>
        <v>5.32</v>
      </c>
      <c r="E384" s="266" t="n">
        <v>0.395</v>
      </c>
      <c r="F384" s="266"/>
      <c r="G384" s="238" t="n">
        <f aca="false">C384*D384*E384</f>
        <v>6.3042</v>
      </c>
      <c r="H384" s="239" t="n">
        <v>4.8</v>
      </c>
      <c r="I384" s="168" t="n">
        <f aca="false">C384*H384</f>
        <v>14.4</v>
      </c>
      <c r="J384" s="168" t="n">
        <f aca="false">C384*D384</f>
        <v>15.96</v>
      </c>
    </row>
    <row r="385" customFormat="false" ht="16.5" hidden="false" customHeight="true" outlineLevel="0" collapsed="false">
      <c r="B385" s="265"/>
      <c r="C385" s="203" t="n">
        <f aca="false">3*3</f>
        <v>9</v>
      </c>
      <c r="D385" s="203" t="n">
        <f aca="false">2.3+(0.4*2)</f>
        <v>3.1</v>
      </c>
      <c r="E385" s="266" t="n">
        <v>0.395</v>
      </c>
      <c r="F385" s="266"/>
      <c r="G385" s="238" t="n">
        <f aca="false">C385*D385*E385</f>
        <v>11.0205</v>
      </c>
      <c r="H385" s="239" t="n">
        <v>2.3</v>
      </c>
      <c r="I385" s="168" t="n">
        <f aca="false">C385*H385</f>
        <v>20.7</v>
      </c>
      <c r="J385" s="168" t="n">
        <f aca="false">C385*D385</f>
        <v>27.9</v>
      </c>
    </row>
    <row r="386" customFormat="false" ht="16.5" hidden="false" customHeight="true" outlineLevel="0" collapsed="false">
      <c r="B386" s="265"/>
      <c r="C386" s="203" t="n">
        <f aca="false">3*3</f>
        <v>9</v>
      </c>
      <c r="D386" s="203" t="n">
        <f aca="false">0.78+0.4+0.12</f>
        <v>1.3</v>
      </c>
      <c r="E386" s="266" t="n">
        <v>0.395</v>
      </c>
      <c r="F386" s="266"/>
      <c r="G386" s="238" t="n">
        <f aca="false">C386*D386*E386</f>
        <v>4.6215</v>
      </c>
      <c r="H386" s="239" t="n">
        <v>0.78</v>
      </c>
      <c r="I386" s="168" t="n">
        <f aca="false">C386*H386</f>
        <v>7.02</v>
      </c>
      <c r="J386" s="168" t="n">
        <f aca="false">C386*D386</f>
        <v>11.7</v>
      </c>
    </row>
    <row r="387" customFormat="false" ht="16.5" hidden="false" customHeight="true" outlineLevel="0" collapsed="false">
      <c r="B387" s="265" t="s">
        <v>208</v>
      </c>
      <c r="C387" s="203" t="n">
        <f aca="false">2*3</f>
        <v>6</v>
      </c>
      <c r="D387" s="203" t="n">
        <f aca="false">3.6+0.4+0.12</f>
        <v>4.12</v>
      </c>
      <c r="E387" s="266" t="n">
        <v>0.395</v>
      </c>
      <c r="F387" s="266"/>
      <c r="G387" s="238" t="n">
        <f aca="false">C387*D387*E387</f>
        <v>9.7644</v>
      </c>
      <c r="H387" s="239" t="n">
        <v>3.6</v>
      </c>
      <c r="I387" s="168" t="n">
        <f aca="false">C387*H387</f>
        <v>21.6</v>
      </c>
      <c r="J387" s="168" t="n">
        <f aca="false">C387*D387</f>
        <v>24.72</v>
      </c>
    </row>
    <row r="388" customFormat="false" ht="16.5" hidden="false" customHeight="true" outlineLevel="0" collapsed="false">
      <c r="B388" s="265"/>
      <c r="C388" s="203" t="n">
        <f aca="false">3*3</f>
        <v>9</v>
      </c>
      <c r="D388" s="203" t="n">
        <f aca="false">5.46+(0.12*2)</f>
        <v>5.7</v>
      </c>
      <c r="E388" s="266" t="n">
        <v>0.395</v>
      </c>
      <c r="F388" s="266"/>
      <c r="G388" s="238" t="n">
        <f aca="false">C388*D388*E388</f>
        <v>20.2635</v>
      </c>
      <c r="H388" s="239" t="n">
        <v>5.46</v>
      </c>
      <c r="I388" s="168" t="n">
        <f aca="false">C388*H388</f>
        <v>49.14</v>
      </c>
      <c r="J388" s="168" t="n">
        <f aca="false">C388*D388</f>
        <v>51.3</v>
      </c>
    </row>
    <row r="389" customFormat="false" ht="16.5" hidden="false" customHeight="true" outlineLevel="0" collapsed="false">
      <c r="B389" s="265"/>
      <c r="C389" s="203" t="n">
        <f aca="false">2*3</f>
        <v>6</v>
      </c>
      <c r="D389" s="203" t="n">
        <f aca="false">4.1+0.12+0.4</f>
        <v>4.62</v>
      </c>
      <c r="E389" s="266" t="n">
        <v>0.395</v>
      </c>
      <c r="F389" s="266"/>
      <c r="G389" s="238" t="n">
        <f aca="false">C389*D389*E389</f>
        <v>10.9494</v>
      </c>
      <c r="H389" s="239" t="n">
        <v>4.1</v>
      </c>
      <c r="I389" s="168" t="n">
        <f aca="false">C389*H389</f>
        <v>24.6</v>
      </c>
      <c r="J389" s="168" t="n">
        <f aca="false">C389*D389</f>
        <v>27.72</v>
      </c>
    </row>
    <row r="390" customFormat="false" ht="16.5" hidden="false" customHeight="true" outlineLevel="0" collapsed="false">
      <c r="B390" s="265"/>
      <c r="C390" s="203" t="n">
        <f aca="false">1*3</f>
        <v>3</v>
      </c>
      <c r="D390" s="203" t="n">
        <f aca="false">1.8+0.4+0.12</f>
        <v>2.32</v>
      </c>
      <c r="E390" s="266" t="n">
        <v>0.395</v>
      </c>
      <c r="F390" s="266"/>
      <c r="G390" s="238" t="n">
        <f aca="false">C390*D390*E390</f>
        <v>2.7492</v>
      </c>
      <c r="H390" s="239" t="n">
        <v>1.8</v>
      </c>
      <c r="I390" s="168" t="n">
        <f aca="false">C390*H390</f>
        <v>5.4</v>
      </c>
      <c r="J390" s="168" t="n">
        <f aca="false">C390*D390</f>
        <v>6.96</v>
      </c>
    </row>
    <row r="391" customFormat="false" ht="16.5" hidden="false" customHeight="true" outlineLevel="0" collapsed="false">
      <c r="B391" s="265"/>
      <c r="C391" s="203" t="n">
        <f aca="false">1*3</f>
        <v>3</v>
      </c>
      <c r="D391" s="203" t="n">
        <f aca="false">1.2+0.4+0.12</f>
        <v>1.72</v>
      </c>
      <c r="E391" s="266" t="n">
        <v>0.395</v>
      </c>
      <c r="F391" s="266"/>
      <c r="G391" s="238" t="n">
        <f aca="false">C391*D391*E391</f>
        <v>2.0382</v>
      </c>
      <c r="H391" s="239" t="n">
        <v>1.2</v>
      </c>
      <c r="I391" s="168" t="n">
        <f aca="false">C391*H391</f>
        <v>3.6</v>
      </c>
      <c r="J391" s="168" t="n">
        <f aca="false">C391*D391</f>
        <v>5.16</v>
      </c>
    </row>
    <row r="392" customFormat="false" ht="16.5" hidden="false" customHeight="true" outlineLevel="0" collapsed="false">
      <c r="B392" s="265"/>
      <c r="C392" s="203" t="n">
        <f aca="false">1*3</f>
        <v>3</v>
      </c>
      <c r="D392" s="203" t="n">
        <f aca="false">3.08+0.12+0.4</f>
        <v>3.6</v>
      </c>
      <c r="E392" s="266" t="n">
        <v>0.395</v>
      </c>
      <c r="F392" s="266"/>
      <c r="G392" s="238" t="n">
        <f aca="false">C392*D392*E392</f>
        <v>4.266</v>
      </c>
      <c r="H392" s="239" t="n">
        <v>3.08</v>
      </c>
      <c r="I392" s="168" t="n">
        <f aca="false">C392*H392</f>
        <v>9.24</v>
      </c>
      <c r="J392" s="168" t="n">
        <f aca="false">C392*D392</f>
        <v>10.8</v>
      </c>
    </row>
    <row r="393" customFormat="false" ht="16.5" hidden="false" customHeight="true" outlineLevel="0" collapsed="false">
      <c r="B393" s="265" t="s">
        <v>209</v>
      </c>
      <c r="C393" s="203" t="n">
        <f aca="false">1*3</f>
        <v>3</v>
      </c>
      <c r="D393" s="203" t="n">
        <f aca="false">1.98+0.12+0.4</f>
        <v>2.5</v>
      </c>
      <c r="E393" s="266" t="n">
        <v>0.395</v>
      </c>
      <c r="F393" s="266"/>
      <c r="G393" s="238" t="n">
        <f aca="false">C393*D393*E393</f>
        <v>2.9625</v>
      </c>
      <c r="H393" s="239" t="n">
        <v>1.98</v>
      </c>
      <c r="I393" s="168" t="n">
        <f aca="false">C393*H393</f>
        <v>5.94</v>
      </c>
      <c r="J393" s="168" t="n">
        <f aca="false">C393*D393</f>
        <v>7.5</v>
      </c>
    </row>
    <row r="394" customFormat="false" ht="16.5" hidden="false" customHeight="true" outlineLevel="0" collapsed="false">
      <c r="B394" s="265"/>
      <c r="C394" s="203" t="n">
        <f aca="false">3*3</f>
        <v>9</v>
      </c>
      <c r="D394" s="203" t="n">
        <f aca="false">4.98+0.4+0.12</f>
        <v>5.5</v>
      </c>
      <c r="E394" s="266" t="n">
        <v>0.395</v>
      </c>
      <c r="F394" s="266"/>
      <c r="G394" s="238" t="n">
        <f aca="false">C394*D394*E394</f>
        <v>19.5525</v>
      </c>
      <c r="H394" s="239" t="n">
        <v>4.98</v>
      </c>
      <c r="I394" s="168" t="n">
        <f aca="false">C394*H394</f>
        <v>44.82</v>
      </c>
      <c r="J394" s="168" t="n">
        <f aca="false">C394*D394</f>
        <v>49.5</v>
      </c>
    </row>
    <row r="395" customFormat="false" ht="16.5" hidden="false" customHeight="true" outlineLevel="0" collapsed="false">
      <c r="B395" s="265"/>
      <c r="C395" s="203" t="n">
        <f aca="false">3*3</f>
        <v>9</v>
      </c>
      <c r="D395" s="203" t="n">
        <f aca="false">5.48+(0.12*2)</f>
        <v>5.72</v>
      </c>
      <c r="E395" s="266" t="n">
        <v>0.395</v>
      </c>
      <c r="F395" s="266"/>
      <c r="G395" s="238" t="n">
        <f aca="false">C395*D395*E395</f>
        <v>20.3346</v>
      </c>
      <c r="H395" s="239" t="n">
        <v>5.48</v>
      </c>
      <c r="I395" s="168" t="n">
        <f aca="false">C395*H395</f>
        <v>49.32</v>
      </c>
      <c r="J395" s="168" t="n">
        <f aca="false">C395*D395</f>
        <v>51.48</v>
      </c>
    </row>
    <row r="396" customFormat="false" ht="16.5" hidden="false" customHeight="true" outlineLevel="0" collapsed="false">
      <c r="B396" s="265" t="s">
        <v>210</v>
      </c>
      <c r="C396" s="203" t="n">
        <f aca="false">6*3</f>
        <v>18</v>
      </c>
      <c r="D396" s="203" t="n">
        <f aca="false">3.6+(0.4*2)</f>
        <v>4.4</v>
      </c>
      <c r="E396" s="266" t="n">
        <v>0.395</v>
      </c>
      <c r="F396" s="266"/>
      <c r="G396" s="238" t="n">
        <f aca="false">C396*D396*E396</f>
        <v>31.284</v>
      </c>
      <c r="H396" s="239" t="n">
        <v>3.6</v>
      </c>
      <c r="I396" s="168" t="n">
        <f aca="false">C396*H396</f>
        <v>64.8</v>
      </c>
      <c r="J396" s="168" t="n">
        <f aca="false">C396*D396</f>
        <v>79.2</v>
      </c>
    </row>
    <row r="397" customFormat="false" ht="16.5" hidden="false" customHeight="true" outlineLevel="0" collapsed="false">
      <c r="B397" s="265"/>
      <c r="C397" s="203" t="n">
        <f aca="false">3*3</f>
        <v>9</v>
      </c>
      <c r="D397" s="203" t="n">
        <f aca="false">4.68+0.4+0.12</f>
        <v>5.2</v>
      </c>
      <c r="E397" s="266" t="n">
        <v>0.395</v>
      </c>
      <c r="F397" s="266"/>
      <c r="G397" s="238" t="n">
        <f aca="false">C397*D397*E397</f>
        <v>18.486</v>
      </c>
      <c r="H397" s="239" t="n">
        <v>4.68</v>
      </c>
      <c r="I397" s="168" t="n">
        <f aca="false">C397*H397</f>
        <v>42.12</v>
      </c>
      <c r="J397" s="168" t="n">
        <f aca="false">C397*D397</f>
        <v>46.8</v>
      </c>
    </row>
    <row r="398" customFormat="false" ht="15.75" hidden="false" customHeight="false" outlineLevel="0" collapsed="false">
      <c r="B398" s="269" t="s">
        <v>215</v>
      </c>
      <c r="C398" s="269"/>
      <c r="D398" s="269"/>
      <c r="E398" s="269"/>
      <c r="F398" s="269"/>
      <c r="G398" s="270" t="n">
        <f aca="false">SUM(G360:G397)</f>
        <v>456.6753</v>
      </c>
      <c r="H398" s="218"/>
      <c r="I398" s="168" t="n">
        <f aca="false">SUM(I360:I397)</f>
        <v>979.74</v>
      </c>
      <c r="J398" s="168" t="n">
        <f aca="false">SUM(J360:J397)</f>
        <v>1156.14</v>
      </c>
    </row>
    <row r="399" customFormat="false" ht="15" hidden="false" customHeight="false" outlineLevel="0" collapsed="false">
      <c r="B399" s="272"/>
      <c r="C399" s="210"/>
      <c r="D399" s="210"/>
      <c r="E399" s="210"/>
      <c r="F399" s="210"/>
      <c r="G399" s="210"/>
      <c r="H399" s="210"/>
      <c r="I399" s="210"/>
      <c r="J399" s="210"/>
      <c r="K399" s="210"/>
      <c r="L399" s="210"/>
      <c r="M399" s="210"/>
      <c r="N399" s="210"/>
      <c r="O399" s="210"/>
      <c r="P399" s="210"/>
      <c r="Q399" s="210"/>
      <c r="R399" s="210"/>
      <c r="S399" s="210"/>
      <c r="T399" s="210"/>
    </row>
    <row r="400" s="274" customFormat="true" ht="15.75" hidden="false" customHeight="true" outlineLevel="0" collapsed="false">
      <c r="A400" s="164" t="s">
        <v>49</v>
      </c>
      <c r="B400" s="273" t="str">
        <f aca="false">'Composições '!C182</f>
        <v>Aplicação de adesivo estrutural base resina epoxi, Compound Adesivo, Vedacit ou similar, aplicação em chumbamento e colagem dos mais diversos materiais de construção</v>
      </c>
      <c r="C400" s="210"/>
      <c r="D400" s="210"/>
      <c r="E400" s="210"/>
      <c r="F400" s="210"/>
      <c r="G400" s="210"/>
      <c r="H400" s="210"/>
      <c r="I400" s="210"/>
      <c r="J400" s="210"/>
      <c r="K400" s="210"/>
      <c r="L400" s="210"/>
      <c r="M400" s="210"/>
      <c r="N400" s="210"/>
      <c r="O400" s="210"/>
      <c r="P400" s="210"/>
      <c r="Q400" s="210"/>
      <c r="R400" s="210"/>
      <c r="S400" s="210"/>
      <c r="T400" s="210"/>
    </row>
    <row r="401" s="210" customFormat="true" ht="15.75" hidden="false" customHeight="false" outlineLevel="0" collapsed="false">
      <c r="A401" s="164"/>
      <c r="B401" s="272"/>
    </row>
    <row r="402" s="210" customFormat="true" ht="15" hidden="false" customHeight="false" outlineLevel="0" collapsed="false">
      <c r="A402" s="164"/>
      <c r="B402" s="185" t="s">
        <v>91</v>
      </c>
      <c r="C402" s="186" t="s">
        <v>109</v>
      </c>
      <c r="D402" s="186" t="s">
        <v>216</v>
      </c>
      <c r="E402" s="187" t="s">
        <v>217</v>
      </c>
      <c r="F402" s="187" t="s">
        <v>163</v>
      </c>
      <c r="G402" s="188" t="s">
        <v>96</v>
      </c>
      <c r="H402" s="225"/>
      <c r="I402" s="211"/>
    </row>
    <row r="403" s="210" customFormat="true" ht="15" hidden="false" customHeight="false" outlineLevel="0" collapsed="false">
      <c r="A403" s="164"/>
      <c r="B403" s="228" t="s">
        <v>218</v>
      </c>
      <c r="C403" s="228"/>
      <c r="D403" s="228"/>
      <c r="E403" s="228"/>
      <c r="F403" s="228"/>
      <c r="G403" s="228"/>
      <c r="H403" s="225"/>
      <c r="I403" s="211"/>
    </row>
    <row r="404" s="210" customFormat="true" ht="15" hidden="false" customHeight="false" outlineLevel="0" collapsed="false">
      <c r="A404" s="180"/>
      <c r="B404" s="216" t="s">
        <v>195</v>
      </c>
      <c r="C404" s="199" t="n">
        <f aca="false">7*3</f>
        <v>21</v>
      </c>
      <c r="D404" s="199" t="n">
        <f aca="false">2*3.14*(0.008/2)</f>
        <v>0.02512</v>
      </c>
      <c r="E404" s="200" t="n">
        <v>0.12</v>
      </c>
      <c r="F404" s="200"/>
      <c r="G404" s="192" t="n">
        <f aca="false">C404*D404*E404</f>
        <v>0.0633024</v>
      </c>
      <c r="H404" s="275"/>
      <c r="I404" s="211"/>
    </row>
    <row r="405" s="210" customFormat="true" ht="15" hidden="false" customHeight="false" outlineLevel="0" collapsed="false">
      <c r="A405" s="180"/>
      <c r="B405" s="216"/>
      <c r="C405" s="199" t="n">
        <f aca="false">7*2</f>
        <v>14</v>
      </c>
      <c r="D405" s="199" t="n">
        <f aca="false">2*3.14*(0.0042/2)</f>
        <v>0.013188</v>
      </c>
      <c r="E405" s="200" t="n">
        <v>0.12</v>
      </c>
      <c r="F405" s="200"/>
      <c r="G405" s="192" t="n">
        <f aca="false">C405*D405*E405</f>
        <v>0.02215584</v>
      </c>
      <c r="H405" s="226"/>
      <c r="I405" s="211"/>
    </row>
    <row r="406" s="210" customFormat="true" ht="15" hidden="false" customHeight="false" outlineLevel="0" collapsed="false">
      <c r="A406" s="180"/>
      <c r="B406" s="216" t="s">
        <v>102</v>
      </c>
      <c r="C406" s="199" t="n">
        <f aca="false">15*3</f>
        <v>45</v>
      </c>
      <c r="D406" s="199" t="n">
        <f aca="false">2*3.14*(0.008/2)</f>
        <v>0.02512</v>
      </c>
      <c r="E406" s="200" t="n">
        <v>0.12</v>
      </c>
      <c r="F406" s="200"/>
      <c r="G406" s="192" t="n">
        <f aca="false">C406*D406*E406</f>
        <v>0.135648</v>
      </c>
      <c r="H406" s="225"/>
      <c r="I406" s="211"/>
    </row>
    <row r="407" s="210" customFormat="true" ht="15" hidden="false" customHeight="false" outlineLevel="0" collapsed="false">
      <c r="A407" s="180"/>
      <c r="B407" s="216"/>
      <c r="C407" s="199" t="n">
        <f aca="false">15*2</f>
        <v>30</v>
      </c>
      <c r="D407" s="199" t="n">
        <f aca="false">2*3.14*(0.0042/2)</f>
        <v>0.013188</v>
      </c>
      <c r="E407" s="200" t="n">
        <v>0.12</v>
      </c>
      <c r="F407" s="200"/>
      <c r="G407" s="192" t="n">
        <f aca="false">C407*D407*E407</f>
        <v>0.0474768</v>
      </c>
      <c r="H407" s="225"/>
      <c r="I407" s="211"/>
    </row>
    <row r="408" s="210" customFormat="true" ht="15" hidden="false" customHeight="false" outlineLevel="0" collapsed="false">
      <c r="A408" s="180"/>
      <c r="B408" s="216" t="s">
        <v>103</v>
      </c>
      <c r="C408" s="199" t="n">
        <f aca="false">12*3</f>
        <v>36</v>
      </c>
      <c r="D408" s="199" t="n">
        <f aca="false">2*3.14*(0.008/2)</f>
        <v>0.02512</v>
      </c>
      <c r="E408" s="200" t="n">
        <v>0.12</v>
      </c>
      <c r="F408" s="200"/>
      <c r="G408" s="192" t="n">
        <f aca="false">C408*D408*E408</f>
        <v>0.1085184</v>
      </c>
      <c r="H408" s="225"/>
      <c r="I408" s="211"/>
    </row>
    <row r="409" s="210" customFormat="true" ht="16.5" hidden="false" customHeight="true" outlineLevel="0" collapsed="false">
      <c r="A409" s="180"/>
      <c r="B409" s="216"/>
      <c r="C409" s="199" t="n">
        <f aca="false">12*2</f>
        <v>24</v>
      </c>
      <c r="D409" s="199" t="n">
        <f aca="false">2*3.14*(0.0042/2)</f>
        <v>0.013188</v>
      </c>
      <c r="E409" s="200" t="n">
        <v>0.12</v>
      </c>
      <c r="F409" s="200"/>
      <c r="G409" s="192" t="n">
        <f aca="false">C409*D409*E409</f>
        <v>0.03798144</v>
      </c>
      <c r="H409" s="225"/>
      <c r="I409" s="211"/>
    </row>
    <row r="410" s="210" customFormat="true" ht="15" hidden="false" customHeight="false" outlineLevel="0" collapsed="false">
      <c r="A410" s="180"/>
      <c r="B410" s="216" t="s">
        <v>104</v>
      </c>
      <c r="C410" s="203" t="n">
        <f aca="false">4*3</f>
        <v>12</v>
      </c>
      <c r="D410" s="199" t="n">
        <f aca="false">2*3.14*(0.008/2)</f>
        <v>0.02512</v>
      </c>
      <c r="E410" s="200" t="n">
        <v>0.12</v>
      </c>
      <c r="F410" s="191"/>
      <c r="G410" s="192" t="n">
        <f aca="false">C410*D410*E410</f>
        <v>0.0361728</v>
      </c>
      <c r="H410" s="225"/>
      <c r="I410" s="211"/>
    </row>
    <row r="411" s="210" customFormat="true" ht="15" hidden="false" customHeight="false" outlineLevel="0" collapsed="false">
      <c r="A411" s="180"/>
      <c r="B411" s="216"/>
      <c r="C411" s="203" t="n">
        <f aca="false">4*2</f>
        <v>8</v>
      </c>
      <c r="D411" s="199" t="n">
        <f aca="false">2*3.14*(0.0042/2)</f>
        <v>0.013188</v>
      </c>
      <c r="E411" s="200" t="n">
        <v>0.12</v>
      </c>
      <c r="F411" s="191"/>
      <c r="G411" s="192" t="n">
        <f aca="false">C411*D411*E411</f>
        <v>0.01266048</v>
      </c>
      <c r="H411" s="225"/>
      <c r="I411" s="211"/>
    </row>
    <row r="412" s="210" customFormat="true" ht="15" hidden="false" customHeight="false" outlineLevel="0" collapsed="false">
      <c r="A412" s="180"/>
      <c r="B412" s="216" t="s">
        <v>105</v>
      </c>
      <c r="C412" s="203" t="n">
        <f aca="false">25*3</f>
        <v>75</v>
      </c>
      <c r="D412" s="199" t="n">
        <f aca="false">2*3.14*(0.008/2)</f>
        <v>0.02512</v>
      </c>
      <c r="E412" s="200" t="n">
        <v>0.12</v>
      </c>
      <c r="F412" s="191"/>
      <c r="G412" s="192" t="n">
        <f aca="false">C412*D412*E412</f>
        <v>0.22608</v>
      </c>
      <c r="H412" s="225"/>
      <c r="I412" s="211"/>
    </row>
    <row r="413" s="210" customFormat="true" ht="15" hidden="false" customHeight="false" outlineLevel="0" collapsed="false">
      <c r="A413" s="180"/>
      <c r="B413" s="216"/>
      <c r="C413" s="203" t="n">
        <f aca="false">25*2</f>
        <v>50</v>
      </c>
      <c r="D413" s="199" t="n">
        <f aca="false">2*3.14*(0.0042/2)</f>
        <v>0.013188</v>
      </c>
      <c r="E413" s="200" t="n">
        <v>0.12</v>
      </c>
      <c r="F413" s="191"/>
      <c r="G413" s="192" t="n">
        <f aca="false">C413*D413*E413</f>
        <v>0.079128</v>
      </c>
      <c r="H413" s="225"/>
      <c r="I413" s="211"/>
    </row>
    <row r="414" s="210" customFormat="true" ht="15" hidden="false" customHeight="false" outlineLevel="0" collapsed="false">
      <c r="A414" s="180"/>
      <c r="B414" s="216" t="s">
        <v>106</v>
      </c>
      <c r="C414" s="203" t="n">
        <f aca="false">10*3</f>
        <v>30</v>
      </c>
      <c r="D414" s="199" t="n">
        <f aca="false">2*3.14*(0.008/2)</f>
        <v>0.02512</v>
      </c>
      <c r="E414" s="200" t="n">
        <v>0.12</v>
      </c>
      <c r="F414" s="191"/>
      <c r="G414" s="192" t="n">
        <f aca="false">C414*D414*E414</f>
        <v>0.090432</v>
      </c>
      <c r="H414" s="225"/>
      <c r="I414" s="211"/>
    </row>
    <row r="415" s="210" customFormat="true" ht="15" hidden="false" customHeight="false" outlineLevel="0" collapsed="false">
      <c r="A415" s="180"/>
      <c r="B415" s="216"/>
      <c r="C415" s="203" t="n">
        <f aca="false">10*2</f>
        <v>20</v>
      </c>
      <c r="D415" s="199" t="n">
        <f aca="false">2*3.14*(0.0042/2)</f>
        <v>0.013188</v>
      </c>
      <c r="E415" s="200" t="n">
        <v>0.12</v>
      </c>
      <c r="F415" s="191"/>
      <c r="G415" s="192" t="n">
        <f aca="false">C415*D415*E415</f>
        <v>0.0316512</v>
      </c>
      <c r="H415" s="225"/>
      <c r="I415" s="211"/>
    </row>
    <row r="416" s="210" customFormat="true" ht="15" hidden="false" customHeight="false" outlineLevel="0" collapsed="false">
      <c r="A416" s="180"/>
      <c r="B416" s="216" t="s">
        <v>166</v>
      </c>
      <c r="C416" s="203" t="n">
        <f aca="false">11*2</f>
        <v>22</v>
      </c>
      <c r="D416" s="199" t="n">
        <f aca="false">2*3.14*(0.0063/2)</f>
        <v>0.019782</v>
      </c>
      <c r="E416" s="191" t="n">
        <v>0.1</v>
      </c>
      <c r="F416" s="191"/>
      <c r="G416" s="192" t="n">
        <f aca="false">C416*D416*E416</f>
        <v>0.0435204</v>
      </c>
      <c r="H416" s="225"/>
      <c r="I416" s="211"/>
    </row>
    <row r="417" s="210" customFormat="true" ht="15" hidden="false" customHeight="false" outlineLevel="0" collapsed="false">
      <c r="A417" s="180"/>
      <c r="B417" s="216"/>
      <c r="C417" s="203" t="n">
        <f aca="false">11*2</f>
        <v>22</v>
      </c>
      <c r="D417" s="199" t="n">
        <f aca="false">2*3.14*(0.0042/2)</f>
        <v>0.013188</v>
      </c>
      <c r="E417" s="191" t="n">
        <v>0.1</v>
      </c>
      <c r="F417" s="191"/>
      <c r="G417" s="192" t="n">
        <f aca="false">C417*D417*E417</f>
        <v>0.0290136</v>
      </c>
      <c r="H417" s="225"/>
      <c r="I417" s="211"/>
    </row>
    <row r="418" s="210" customFormat="true" ht="15" hidden="false" customHeight="false" outlineLevel="0" collapsed="false">
      <c r="A418" s="180"/>
      <c r="B418" s="216" t="s">
        <v>167</v>
      </c>
      <c r="C418" s="203" t="n">
        <f aca="false">6*3</f>
        <v>18</v>
      </c>
      <c r="D418" s="199" t="n">
        <f aca="false">2*3.14*(0.005/2)</f>
        <v>0.0157</v>
      </c>
      <c r="E418" s="191" t="n">
        <v>0.1</v>
      </c>
      <c r="F418" s="191"/>
      <c r="G418" s="192" t="n">
        <f aca="false">C418*D418*E418</f>
        <v>0.02826</v>
      </c>
      <c r="H418" s="225"/>
      <c r="I418" s="211"/>
    </row>
    <row r="419" s="210" customFormat="true" ht="15" hidden="false" customHeight="false" outlineLevel="0" collapsed="false">
      <c r="A419" s="180"/>
      <c r="B419" s="216"/>
      <c r="C419" s="203" t="n">
        <f aca="false">6*2</f>
        <v>12</v>
      </c>
      <c r="D419" s="199" t="n">
        <f aca="false">2*3.14*(0.0042/2)</f>
        <v>0.013188</v>
      </c>
      <c r="E419" s="191" t="n">
        <v>0.1</v>
      </c>
      <c r="F419" s="191"/>
      <c r="G419" s="192" t="n">
        <f aca="false">C419*D419*E419</f>
        <v>0.0158256</v>
      </c>
      <c r="H419" s="225"/>
      <c r="I419" s="211"/>
    </row>
    <row r="420" s="210" customFormat="true" ht="15" hidden="false" customHeight="false" outlineLevel="0" collapsed="false">
      <c r="A420" s="180"/>
      <c r="B420" s="228" t="s">
        <v>219</v>
      </c>
      <c r="C420" s="228"/>
      <c r="D420" s="228"/>
      <c r="E420" s="228"/>
      <c r="F420" s="228"/>
      <c r="G420" s="228"/>
      <c r="H420" s="225"/>
      <c r="I420" s="211"/>
    </row>
    <row r="421" s="210" customFormat="true" ht="15" hidden="false" customHeight="false" outlineLevel="0" collapsed="false">
      <c r="A421" s="180"/>
      <c r="B421" s="216" t="s">
        <v>195</v>
      </c>
      <c r="C421" s="199" t="n">
        <f aca="false">7*3</f>
        <v>21</v>
      </c>
      <c r="D421" s="199" t="n">
        <f aca="false">2*3.14*(0.0127/2)</f>
        <v>0.039878</v>
      </c>
      <c r="E421" s="200" t="n">
        <v>0.12</v>
      </c>
      <c r="F421" s="200"/>
      <c r="G421" s="192" t="n">
        <f aca="false">C421*D421*E421</f>
        <v>0.10049256</v>
      </c>
      <c r="H421" s="226"/>
      <c r="I421" s="211"/>
    </row>
    <row r="422" s="210" customFormat="true" ht="15" hidden="false" customHeight="false" outlineLevel="0" collapsed="false">
      <c r="A422" s="180"/>
      <c r="B422" s="216"/>
      <c r="C422" s="199" t="n">
        <f aca="false">7*2</f>
        <v>14</v>
      </c>
      <c r="D422" s="199" t="n">
        <f aca="false">2*3.14*(0.0127/2)</f>
        <v>0.039878</v>
      </c>
      <c r="E422" s="200" t="n">
        <v>0.12</v>
      </c>
      <c r="F422" s="200"/>
      <c r="G422" s="192" t="n">
        <f aca="false">C422*D422*E422</f>
        <v>0.06699504</v>
      </c>
      <c r="H422" s="226"/>
      <c r="I422" s="211"/>
    </row>
    <row r="423" s="210" customFormat="true" ht="15" hidden="false" customHeight="false" outlineLevel="0" collapsed="false">
      <c r="A423" s="180"/>
      <c r="B423" s="216" t="s">
        <v>102</v>
      </c>
      <c r="C423" s="199" t="n">
        <f aca="false">15*3</f>
        <v>45</v>
      </c>
      <c r="D423" s="199" t="n">
        <f aca="false">2*3.14*(0.0127/2)</f>
        <v>0.039878</v>
      </c>
      <c r="E423" s="200" t="n">
        <v>0.12</v>
      </c>
      <c r="F423" s="200"/>
      <c r="G423" s="192" t="n">
        <f aca="false">C423*D423*E423</f>
        <v>0.2153412</v>
      </c>
      <c r="H423" s="225"/>
      <c r="I423" s="211"/>
    </row>
    <row r="424" s="210" customFormat="true" ht="15" hidden="false" customHeight="false" outlineLevel="0" collapsed="false">
      <c r="A424" s="180"/>
      <c r="B424" s="216"/>
      <c r="C424" s="199" t="n">
        <f aca="false">15*2</f>
        <v>30</v>
      </c>
      <c r="D424" s="199" t="n">
        <f aca="false">2*3.14*(0.0127/2)</f>
        <v>0.039878</v>
      </c>
      <c r="E424" s="200" t="n">
        <v>0.12</v>
      </c>
      <c r="F424" s="200"/>
      <c r="G424" s="192" t="n">
        <f aca="false">C424*D424*E424</f>
        <v>0.1435608</v>
      </c>
      <c r="H424" s="225"/>
      <c r="I424" s="211"/>
    </row>
    <row r="425" s="210" customFormat="true" ht="15" hidden="false" customHeight="false" outlineLevel="0" collapsed="false">
      <c r="A425" s="180"/>
      <c r="B425" s="216" t="s">
        <v>103</v>
      </c>
      <c r="C425" s="199" t="n">
        <f aca="false">12*3</f>
        <v>36</v>
      </c>
      <c r="D425" s="199" t="n">
        <f aca="false">2*3.14*(0.0127/2)</f>
        <v>0.039878</v>
      </c>
      <c r="E425" s="200" t="n">
        <v>0.12</v>
      </c>
      <c r="F425" s="200"/>
      <c r="G425" s="192" t="n">
        <f aca="false">C425*D425*E425</f>
        <v>0.17227296</v>
      </c>
      <c r="H425" s="225"/>
      <c r="I425" s="211"/>
    </row>
    <row r="426" s="210" customFormat="true" ht="15" hidden="false" customHeight="false" outlineLevel="0" collapsed="false">
      <c r="A426" s="180"/>
      <c r="B426" s="216"/>
      <c r="C426" s="199" t="n">
        <f aca="false">12*2</f>
        <v>24</v>
      </c>
      <c r="D426" s="199" t="n">
        <f aca="false">2*3.14*(0.0127/2)</f>
        <v>0.039878</v>
      </c>
      <c r="E426" s="200" t="n">
        <v>0.12</v>
      </c>
      <c r="F426" s="200"/>
      <c r="G426" s="192" t="n">
        <f aca="false">C426*D426*E426</f>
        <v>0.11484864</v>
      </c>
      <c r="H426" s="225"/>
      <c r="I426" s="211"/>
    </row>
    <row r="427" s="210" customFormat="true" ht="15" hidden="false" customHeight="false" outlineLevel="0" collapsed="false">
      <c r="A427" s="180"/>
      <c r="B427" s="216" t="s">
        <v>104</v>
      </c>
      <c r="C427" s="203" t="n">
        <f aca="false">4*3</f>
        <v>12</v>
      </c>
      <c r="D427" s="199" t="n">
        <f aca="false">2*3.14*(0.008/2)</f>
        <v>0.02512</v>
      </c>
      <c r="E427" s="200" t="n">
        <v>0.12</v>
      </c>
      <c r="F427" s="191"/>
      <c r="G427" s="192" t="n">
        <f aca="false">C427*D427*E427</f>
        <v>0.0361728</v>
      </c>
      <c r="H427" s="225"/>
      <c r="I427" s="211"/>
    </row>
    <row r="428" s="210" customFormat="true" ht="15" hidden="false" customHeight="false" outlineLevel="0" collapsed="false">
      <c r="A428" s="180"/>
      <c r="B428" s="216"/>
      <c r="C428" s="203" t="n">
        <f aca="false">4*2</f>
        <v>8</v>
      </c>
      <c r="D428" s="199" t="n">
        <f aca="false">2*3.14*(0.0042/2)</f>
        <v>0.013188</v>
      </c>
      <c r="E428" s="200" t="n">
        <v>0.12</v>
      </c>
      <c r="F428" s="191"/>
      <c r="G428" s="192" t="n">
        <f aca="false">C428*D428*E428</f>
        <v>0.01266048</v>
      </c>
      <c r="H428" s="225"/>
      <c r="I428" s="211"/>
    </row>
    <row r="429" s="210" customFormat="true" ht="15" hidden="false" customHeight="false" outlineLevel="0" collapsed="false">
      <c r="A429" s="180"/>
      <c r="B429" s="216" t="s">
        <v>105</v>
      </c>
      <c r="C429" s="203" t="n">
        <f aca="false">25*3</f>
        <v>75</v>
      </c>
      <c r="D429" s="199" t="n">
        <f aca="false">2*3.14*(0.0127/2)</f>
        <v>0.039878</v>
      </c>
      <c r="E429" s="200" t="n">
        <v>0.12</v>
      </c>
      <c r="F429" s="191"/>
      <c r="G429" s="192" t="n">
        <f aca="false">C429*D429*E429</f>
        <v>0.358902</v>
      </c>
      <c r="H429" s="225"/>
      <c r="I429" s="211"/>
    </row>
    <row r="430" s="210" customFormat="true" ht="15" hidden="false" customHeight="false" outlineLevel="0" collapsed="false">
      <c r="A430" s="180"/>
      <c r="B430" s="216"/>
      <c r="C430" s="203" t="n">
        <f aca="false">25*2</f>
        <v>50</v>
      </c>
      <c r="D430" s="199" t="n">
        <f aca="false">2*3.14*(0.0127/2)</f>
        <v>0.039878</v>
      </c>
      <c r="E430" s="200" t="n">
        <v>0.12</v>
      </c>
      <c r="F430" s="191"/>
      <c r="G430" s="192" t="n">
        <f aca="false">C430*D430*E430</f>
        <v>0.239268</v>
      </c>
      <c r="H430" s="225"/>
      <c r="I430" s="211"/>
    </row>
    <row r="431" s="210" customFormat="true" ht="15" hidden="false" customHeight="false" outlineLevel="0" collapsed="false">
      <c r="A431" s="180"/>
      <c r="B431" s="216" t="s">
        <v>106</v>
      </c>
      <c r="C431" s="203" t="n">
        <f aca="false">10*3</f>
        <v>30</v>
      </c>
      <c r="D431" s="199" t="n">
        <f aca="false">2*3.14*(0.0127/2)</f>
        <v>0.039878</v>
      </c>
      <c r="E431" s="200" t="n">
        <v>0.12</v>
      </c>
      <c r="F431" s="191"/>
      <c r="G431" s="192" t="n">
        <f aca="false">C431*D431*E431</f>
        <v>0.1435608</v>
      </c>
      <c r="H431" s="225"/>
      <c r="I431" s="211"/>
    </row>
    <row r="432" s="210" customFormat="true" ht="15" hidden="false" customHeight="false" outlineLevel="0" collapsed="false">
      <c r="A432" s="180"/>
      <c r="B432" s="216"/>
      <c r="C432" s="203" t="n">
        <f aca="false">10*2</f>
        <v>20</v>
      </c>
      <c r="D432" s="199" t="n">
        <f aca="false">2*3.14*(0.0127/2)</f>
        <v>0.039878</v>
      </c>
      <c r="E432" s="200" t="n">
        <v>0.12</v>
      </c>
      <c r="F432" s="191"/>
      <c r="G432" s="192" t="n">
        <f aca="false">C432*D432*E432</f>
        <v>0.0957072</v>
      </c>
      <c r="H432" s="225"/>
      <c r="I432" s="211"/>
    </row>
    <row r="433" s="210" customFormat="true" ht="15" hidden="false" customHeight="false" outlineLevel="0" collapsed="false">
      <c r="A433" s="180"/>
      <c r="B433" s="216" t="s">
        <v>166</v>
      </c>
      <c r="C433" s="203" t="n">
        <f aca="false">11*2</f>
        <v>22</v>
      </c>
      <c r="D433" s="199" t="n">
        <f aca="false">2*3.14*(0.0127/2)</f>
        <v>0.039878</v>
      </c>
      <c r="E433" s="191" t="n">
        <v>0.1</v>
      </c>
      <c r="F433" s="191"/>
      <c r="G433" s="192" t="n">
        <f aca="false">C433*D433*E433</f>
        <v>0.0877316</v>
      </c>
      <c r="H433" s="225"/>
      <c r="I433" s="211"/>
    </row>
    <row r="434" s="210" customFormat="true" ht="15" hidden="false" customHeight="false" outlineLevel="0" collapsed="false">
      <c r="A434" s="180"/>
      <c r="B434" s="216"/>
      <c r="C434" s="203" t="n">
        <f aca="false">11*2</f>
        <v>22</v>
      </c>
      <c r="D434" s="199" t="n">
        <f aca="false">2*3.14*(0.0127/2)</f>
        <v>0.039878</v>
      </c>
      <c r="E434" s="191" t="n">
        <v>0.1</v>
      </c>
      <c r="F434" s="191"/>
      <c r="G434" s="192" t="n">
        <f aca="false">C434*D434*E434</f>
        <v>0.0877316</v>
      </c>
      <c r="H434" s="225"/>
      <c r="I434" s="211"/>
    </row>
    <row r="435" s="210" customFormat="true" ht="15" hidden="false" customHeight="false" outlineLevel="0" collapsed="false">
      <c r="A435" s="180"/>
      <c r="B435" s="216" t="s">
        <v>167</v>
      </c>
      <c r="C435" s="203" t="n">
        <f aca="false">6*3</f>
        <v>18</v>
      </c>
      <c r="D435" s="199" t="n">
        <f aca="false">2*3.14*(0.0127/2)</f>
        <v>0.039878</v>
      </c>
      <c r="E435" s="191" t="n">
        <v>0.1</v>
      </c>
      <c r="F435" s="191"/>
      <c r="G435" s="192" t="n">
        <f aca="false">C435*D435*E435</f>
        <v>0.0717804</v>
      </c>
      <c r="H435" s="225"/>
      <c r="I435" s="211"/>
    </row>
    <row r="436" s="210" customFormat="true" ht="15" hidden="false" customHeight="false" outlineLevel="0" collapsed="false">
      <c r="A436" s="180"/>
      <c r="B436" s="216"/>
      <c r="C436" s="203" t="n">
        <f aca="false">6*2</f>
        <v>12</v>
      </c>
      <c r="D436" s="199" t="n">
        <f aca="false">2*3.14*(0.0127/2)</f>
        <v>0.039878</v>
      </c>
      <c r="E436" s="191" t="n">
        <v>0.1</v>
      </c>
      <c r="F436" s="191"/>
      <c r="G436" s="192" t="n">
        <f aca="false">C436*D436*E436</f>
        <v>0.0478536</v>
      </c>
      <c r="H436" s="225"/>
      <c r="I436" s="211"/>
    </row>
    <row r="437" s="210" customFormat="true" ht="15.75" hidden="false" customHeight="false" outlineLevel="0" collapsed="false">
      <c r="A437" s="180"/>
      <c r="B437" s="193" t="s">
        <v>118</v>
      </c>
      <c r="C437" s="193"/>
      <c r="D437" s="193"/>
      <c r="E437" s="193"/>
      <c r="F437" s="193"/>
      <c r="G437" s="194" t="n">
        <f aca="false">SUM(G404:G436)</f>
        <v>3.00270664</v>
      </c>
      <c r="H437" s="225"/>
      <c r="I437" s="211"/>
    </row>
    <row r="438" s="210" customFormat="true" ht="15" hidden="false" customHeight="false" outlineLevel="0" collapsed="false">
      <c r="A438" s="229"/>
      <c r="B438" s="195"/>
      <c r="C438" s="229"/>
      <c r="D438" s="229"/>
      <c r="E438" s="229"/>
      <c r="F438" s="229"/>
      <c r="G438" s="229"/>
      <c r="H438" s="229"/>
      <c r="I438" s="229"/>
    </row>
    <row r="439" s="276" customFormat="true" ht="15" hidden="false" customHeight="false" outlineLevel="0" collapsed="false">
      <c r="A439" s="261" t="s">
        <v>50</v>
      </c>
      <c r="B439" s="195" t="str">
        <f aca="false">'Composições '!C190</f>
        <v>Proteção de armadura com tinta de alto teor de zinco - Nitoprimer Zn ou similar, esp:2mm</v>
      </c>
      <c r="C439" s="229"/>
      <c r="D439" s="229"/>
      <c r="E439" s="229"/>
      <c r="F439" s="229"/>
      <c r="G439" s="229"/>
      <c r="H439" s="229"/>
      <c r="I439" s="229"/>
      <c r="J439" s="210"/>
      <c r="K439" s="210"/>
      <c r="L439" s="210"/>
      <c r="M439" s="210"/>
      <c r="N439" s="210"/>
      <c r="O439" s="210"/>
      <c r="P439" s="210"/>
      <c r="Q439" s="210"/>
      <c r="R439" s="210"/>
      <c r="S439" s="210"/>
      <c r="T439" s="210"/>
      <c r="U439" s="210"/>
      <c r="V439" s="210"/>
      <c r="W439" s="210"/>
      <c r="X439" s="210"/>
      <c r="Y439" s="210"/>
      <c r="Z439" s="210"/>
      <c r="AA439" s="210"/>
      <c r="AB439" s="210"/>
      <c r="AC439" s="210"/>
    </row>
    <row r="440" customFormat="false" ht="15.75" hidden="false" customHeight="false" outlineLevel="0" collapsed="false">
      <c r="A440" s="229"/>
      <c r="B440" s="195"/>
      <c r="C440" s="229"/>
      <c r="D440" s="229"/>
      <c r="E440" s="229"/>
      <c r="F440" s="229"/>
      <c r="G440" s="229"/>
      <c r="H440" s="229"/>
      <c r="I440" s="229"/>
      <c r="J440" s="210"/>
      <c r="K440" s="210"/>
      <c r="L440" s="210"/>
      <c r="M440" s="210"/>
      <c r="N440" s="210"/>
      <c r="O440" s="210"/>
      <c r="P440" s="210"/>
      <c r="Q440" s="210"/>
      <c r="R440" s="210"/>
      <c r="S440" s="210"/>
      <c r="T440" s="210"/>
      <c r="U440" s="210"/>
      <c r="V440" s="210"/>
      <c r="W440" s="210"/>
      <c r="X440" s="210"/>
      <c r="Y440" s="210"/>
      <c r="Z440" s="210"/>
      <c r="AA440" s="210"/>
      <c r="AB440" s="210"/>
      <c r="AC440" s="210"/>
    </row>
    <row r="441" s="229" customFormat="true" ht="15" hidden="false" customHeight="false" outlineLevel="0" collapsed="false">
      <c r="A441" s="180"/>
      <c r="B441" s="185" t="s">
        <v>91</v>
      </c>
      <c r="C441" s="215" t="s">
        <v>109</v>
      </c>
      <c r="D441" s="215" t="s">
        <v>94</v>
      </c>
      <c r="E441" s="187" t="s">
        <v>216</v>
      </c>
      <c r="F441" s="187" t="s">
        <v>163</v>
      </c>
      <c r="G441" s="236" t="s">
        <v>176</v>
      </c>
      <c r="J441" s="210"/>
      <c r="K441" s="210"/>
      <c r="L441" s="210"/>
      <c r="M441" s="210"/>
      <c r="N441" s="210"/>
      <c r="O441" s="210"/>
      <c r="P441" s="210"/>
      <c r="Q441" s="210"/>
      <c r="R441" s="210"/>
      <c r="S441" s="210"/>
      <c r="T441" s="210"/>
      <c r="U441" s="210"/>
      <c r="V441" s="210"/>
      <c r="W441" s="210"/>
      <c r="X441" s="210"/>
      <c r="Y441" s="210"/>
      <c r="Z441" s="210"/>
      <c r="AA441" s="210"/>
      <c r="AB441" s="210"/>
      <c r="AC441" s="210"/>
    </row>
    <row r="442" s="229" customFormat="true" ht="15" hidden="false" customHeight="true" outlineLevel="0" collapsed="false">
      <c r="A442" s="180"/>
      <c r="B442" s="228" t="s">
        <v>165</v>
      </c>
      <c r="C442" s="228"/>
      <c r="D442" s="228"/>
      <c r="E442" s="228"/>
      <c r="F442" s="228"/>
      <c r="G442" s="228"/>
    </row>
    <row r="443" s="229" customFormat="true" ht="15" hidden="false" customHeight="true" outlineLevel="0" collapsed="false">
      <c r="A443" s="180"/>
      <c r="B443" s="216" t="s">
        <v>101</v>
      </c>
      <c r="C443" s="237" t="n">
        <f aca="false">9*3</f>
        <v>27</v>
      </c>
      <c r="D443" s="237" t="n">
        <v>5.73</v>
      </c>
      <c r="E443" s="200" t="n">
        <f aca="false">2*3.14*(0.008/2)</f>
        <v>0.02512</v>
      </c>
      <c r="F443" s="200"/>
      <c r="G443" s="238" t="n">
        <f aca="false">((C443*D443)-F443)*E443</f>
        <v>3.8863152</v>
      </c>
      <c r="H443" s="239"/>
    </row>
    <row r="444" s="229" customFormat="true" ht="15" hidden="false" customHeight="true" outlineLevel="0" collapsed="false">
      <c r="A444" s="180"/>
      <c r="B444" s="216"/>
      <c r="C444" s="237" t="n">
        <f aca="false">9*2</f>
        <v>18</v>
      </c>
      <c r="D444" s="237" t="n">
        <v>5.73</v>
      </c>
      <c r="E444" s="200" t="n">
        <f aca="false">2*3.14*(0.0042/2)</f>
        <v>0.013188</v>
      </c>
      <c r="F444" s="200"/>
      <c r="G444" s="238" t="n">
        <f aca="false">((C444*D444)-F444)*E444</f>
        <v>1.36021032</v>
      </c>
      <c r="H444" s="239"/>
    </row>
    <row r="445" s="229" customFormat="true" ht="15" hidden="false" customHeight="true" outlineLevel="0" collapsed="false">
      <c r="A445" s="180"/>
      <c r="B445" s="216" t="s">
        <v>102</v>
      </c>
      <c r="C445" s="237" t="n">
        <f aca="false">9*3</f>
        <v>27</v>
      </c>
      <c r="D445" s="237" t="n">
        <v>5.73</v>
      </c>
      <c r="E445" s="200" t="n">
        <f aca="false">2*3.14*(0.008/2)</f>
        <v>0.02512</v>
      </c>
      <c r="F445" s="200"/>
      <c r="G445" s="238" t="n">
        <f aca="false">((C445*D445)-F445)*E445</f>
        <v>3.8863152</v>
      </c>
      <c r="H445" s="239"/>
    </row>
    <row r="446" s="229" customFormat="true" ht="15" hidden="false" customHeight="true" outlineLevel="0" collapsed="false">
      <c r="A446" s="180"/>
      <c r="B446" s="216"/>
      <c r="C446" s="237" t="n">
        <f aca="false">9*2</f>
        <v>18</v>
      </c>
      <c r="D446" s="237" t="n">
        <v>5.73</v>
      </c>
      <c r="E446" s="200" t="n">
        <f aca="false">2*3.14*(0.0042/2)</f>
        <v>0.013188</v>
      </c>
      <c r="F446" s="200"/>
      <c r="G446" s="238" t="n">
        <f aca="false">((C446*D446)-F446)*E446</f>
        <v>1.36021032</v>
      </c>
      <c r="H446" s="239"/>
    </row>
    <row r="447" s="229" customFormat="true" ht="15" hidden="false" customHeight="true" outlineLevel="0" collapsed="false">
      <c r="A447" s="180"/>
      <c r="B447" s="277" t="s">
        <v>103</v>
      </c>
      <c r="C447" s="237" t="n">
        <f aca="false">9*3</f>
        <v>27</v>
      </c>
      <c r="D447" s="237" t="n">
        <v>5.73</v>
      </c>
      <c r="E447" s="200" t="n">
        <f aca="false">2*3.14*(0.008/2)</f>
        <v>0.02512</v>
      </c>
      <c r="F447" s="200"/>
      <c r="G447" s="238" t="n">
        <f aca="false">((C447*D447)-F447)*E447</f>
        <v>3.8863152</v>
      </c>
      <c r="H447" s="239"/>
    </row>
    <row r="448" s="229" customFormat="true" ht="15" hidden="false" customHeight="true" outlineLevel="0" collapsed="false">
      <c r="A448" s="180"/>
      <c r="B448" s="277"/>
      <c r="C448" s="237" t="n">
        <f aca="false">9*2</f>
        <v>18</v>
      </c>
      <c r="D448" s="237" t="n">
        <v>5.73</v>
      </c>
      <c r="E448" s="200" t="n">
        <f aca="false">2*3.14*(0.0042/2)</f>
        <v>0.013188</v>
      </c>
      <c r="F448" s="200"/>
      <c r="G448" s="238" t="n">
        <f aca="false">((C448*D448)-F448)*E448</f>
        <v>1.36021032</v>
      </c>
      <c r="H448" s="239"/>
    </row>
    <row r="449" s="229" customFormat="true" ht="15" hidden="false" customHeight="true" outlineLevel="0" collapsed="false">
      <c r="A449" s="180"/>
      <c r="B449" s="216" t="s">
        <v>104</v>
      </c>
      <c r="C449" s="237" t="n">
        <f aca="false">9*3</f>
        <v>27</v>
      </c>
      <c r="D449" s="237" t="n">
        <v>5.48</v>
      </c>
      <c r="E449" s="200" t="n">
        <f aca="false">2*3.14*(0.008/2)</f>
        <v>0.02512</v>
      </c>
      <c r="F449" s="200"/>
      <c r="G449" s="238" t="n">
        <f aca="false">((C449*D449)-F449)*E449</f>
        <v>3.7167552</v>
      </c>
      <c r="H449" s="239"/>
    </row>
    <row r="450" s="229" customFormat="true" ht="15" hidden="false" customHeight="true" outlineLevel="0" collapsed="false">
      <c r="A450" s="180"/>
      <c r="B450" s="216"/>
      <c r="C450" s="237" t="n">
        <f aca="false">9*2</f>
        <v>18</v>
      </c>
      <c r="D450" s="237" t="n">
        <v>5.48</v>
      </c>
      <c r="E450" s="200" t="n">
        <f aca="false">2*3.14*(0.0042/2)</f>
        <v>0.013188</v>
      </c>
      <c r="F450" s="200"/>
      <c r="G450" s="238" t="n">
        <f aca="false">((C450*D450)-F450)*E450</f>
        <v>1.30086432</v>
      </c>
      <c r="H450" s="239"/>
    </row>
    <row r="451" s="229" customFormat="true" ht="15" hidden="false" customHeight="true" outlineLevel="0" collapsed="false">
      <c r="A451" s="180"/>
      <c r="B451" s="216" t="s">
        <v>105</v>
      </c>
      <c r="C451" s="237" t="n">
        <f aca="false">9*3</f>
        <v>27</v>
      </c>
      <c r="D451" s="237" t="n">
        <v>5.48</v>
      </c>
      <c r="E451" s="200" t="n">
        <f aca="false">2*3.14*(0.008/2)</f>
        <v>0.02512</v>
      </c>
      <c r="F451" s="200"/>
      <c r="G451" s="238" t="n">
        <f aca="false">((C451*D451)-F451)*E451</f>
        <v>3.7167552</v>
      </c>
      <c r="H451" s="239"/>
    </row>
    <row r="452" s="229" customFormat="true" ht="15" hidden="false" customHeight="true" outlineLevel="0" collapsed="false">
      <c r="A452" s="180"/>
      <c r="B452" s="216"/>
      <c r="C452" s="237" t="n">
        <f aca="false">9*2</f>
        <v>18</v>
      </c>
      <c r="D452" s="237" t="n">
        <v>5.48</v>
      </c>
      <c r="E452" s="200" t="n">
        <f aca="false">2*3.14*(0.0042/2)</f>
        <v>0.013188</v>
      </c>
      <c r="F452" s="200"/>
      <c r="G452" s="238" t="n">
        <f aca="false">((C452*D452)-F452)*E452</f>
        <v>1.30086432</v>
      </c>
      <c r="H452" s="239"/>
    </row>
    <row r="453" s="229" customFormat="true" ht="15" hidden="false" customHeight="true" outlineLevel="0" collapsed="false">
      <c r="A453" s="180"/>
      <c r="B453" s="216" t="s">
        <v>106</v>
      </c>
      <c r="C453" s="237" t="n">
        <f aca="false">9*3</f>
        <v>27</v>
      </c>
      <c r="D453" s="237" t="n">
        <v>5.48</v>
      </c>
      <c r="E453" s="200" t="n">
        <f aca="false">2*3.14*(0.008/2)</f>
        <v>0.02512</v>
      </c>
      <c r="F453" s="200"/>
      <c r="G453" s="238" t="n">
        <f aca="false">((C453*D453)-F453)*E453</f>
        <v>3.7167552</v>
      </c>
      <c r="H453" s="239"/>
    </row>
    <row r="454" s="229" customFormat="true" ht="15" hidden="false" customHeight="true" outlineLevel="0" collapsed="false">
      <c r="A454" s="180"/>
      <c r="B454" s="216"/>
      <c r="C454" s="237" t="n">
        <f aca="false">9*2</f>
        <v>18</v>
      </c>
      <c r="D454" s="237" t="n">
        <v>5.48</v>
      </c>
      <c r="E454" s="200" t="n">
        <f aca="false">2*3.14*(0.0042/2)</f>
        <v>0.013188</v>
      </c>
      <c r="F454" s="200"/>
      <c r="G454" s="238" t="n">
        <f aca="false">((C454*D454)-F454)*E454</f>
        <v>1.30086432</v>
      </c>
      <c r="H454" s="239"/>
    </row>
    <row r="455" s="229" customFormat="true" ht="15" hidden="false" customHeight="true" outlineLevel="0" collapsed="false">
      <c r="A455" s="180"/>
      <c r="B455" s="216" t="s">
        <v>166</v>
      </c>
      <c r="C455" s="237" t="n">
        <f aca="false">4*2</f>
        <v>8</v>
      </c>
      <c r="D455" s="237" t="n">
        <v>6.5</v>
      </c>
      <c r="E455" s="200" t="n">
        <f aca="false">2*3.14*(0.0063/2)</f>
        <v>0.019782</v>
      </c>
      <c r="F455" s="200"/>
      <c r="G455" s="238" t="n">
        <f aca="false">((C455*D455)-F455)*E455</f>
        <v>1.028664</v>
      </c>
      <c r="H455" s="239"/>
    </row>
    <row r="456" s="229" customFormat="true" ht="15" hidden="false" customHeight="true" outlineLevel="0" collapsed="false">
      <c r="A456" s="180"/>
      <c r="B456" s="216"/>
      <c r="C456" s="237" t="n">
        <f aca="false">4*2</f>
        <v>8</v>
      </c>
      <c r="D456" s="237" t="n">
        <v>6.5</v>
      </c>
      <c r="E456" s="200" t="n">
        <f aca="false">2*3.14*(0.0042/2)</f>
        <v>0.013188</v>
      </c>
      <c r="F456" s="200"/>
      <c r="G456" s="238" t="n">
        <f aca="false">((C456*D456)-F456)*E456</f>
        <v>0.685776</v>
      </c>
      <c r="H456" s="239"/>
    </row>
    <row r="457" s="229" customFormat="true" ht="15" hidden="false" customHeight="false" outlineLevel="0" collapsed="false">
      <c r="A457" s="180"/>
      <c r="B457" s="216" t="s">
        <v>167</v>
      </c>
      <c r="C457" s="203" t="n">
        <f aca="false">2*3</f>
        <v>6</v>
      </c>
      <c r="D457" s="203" t="n">
        <v>1.5</v>
      </c>
      <c r="E457" s="191" t="n">
        <f aca="false">2*3.14*(0.005/2)</f>
        <v>0.0157</v>
      </c>
      <c r="F457" s="191"/>
      <c r="G457" s="238" t="n">
        <f aca="false">((C457*D457)-F457)*E457</f>
        <v>0.1413</v>
      </c>
    </row>
    <row r="458" s="229" customFormat="true" ht="15" hidden="false" customHeight="false" outlineLevel="0" collapsed="false">
      <c r="A458" s="180"/>
      <c r="B458" s="216"/>
      <c r="C458" s="203" t="n">
        <f aca="false">2*2</f>
        <v>4</v>
      </c>
      <c r="D458" s="203" t="n">
        <v>1.5</v>
      </c>
      <c r="E458" s="191" t="n">
        <f aca="false">2*3.14*(0.0042/2)</f>
        <v>0.013188</v>
      </c>
      <c r="F458" s="191"/>
      <c r="G458" s="238" t="n">
        <f aca="false">((C458*D458)-F458)*E458</f>
        <v>0.079128</v>
      </c>
    </row>
    <row r="459" s="229" customFormat="true" ht="15" hidden="false" customHeight="true" outlineLevel="0" collapsed="false">
      <c r="A459" s="180"/>
      <c r="B459" s="228" t="s">
        <v>168</v>
      </c>
      <c r="C459" s="228"/>
      <c r="D459" s="228"/>
      <c r="E459" s="228"/>
      <c r="F459" s="228"/>
      <c r="G459" s="228"/>
    </row>
    <row r="460" s="229" customFormat="true" ht="15" hidden="false" customHeight="true" outlineLevel="0" collapsed="false">
      <c r="A460" s="180"/>
      <c r="B460" s="216" t="s">
        <v>101</v>
      </c>
      <c r="C460" s="237" t="n">
        <f aca="false">9*3</f>
        <v>27</v>
      </c>
      <c r="D460" s="237" t="n">
        <v>5.48</v>
      </c>
      <c r="E460" s="200" t="n">
        <f aca="false">2*3.14*(0.008/2)</f>
        <v>0.02512</v>
      </c>
      <c r="F460" s="200"/>
      <c r="G460" s="238" t="n">
        <f aca="false">((C460*D460)-F460)*E460</f>
        <v>3.7167552</v>
      </c>
      <c r="H460" s="239"/>
    </row>
    <row r="461" s="229" customFormat="true" ht="15" hidden="false" customHeight="true" outlineLevel="0" collapsed="false">
      <c r="A461" s="180"/>
      <c r="B461" s="216"/>
      <c r="C461" s="237" t="n">
        <f aca="false">9*2</f>
        <v>18</v>
      </c>
      <c r="D461" s="237" t="n">
        <v>5.48</v>
      </c>
      <c r="E461" s="200" t="n">
        <f aca="false">2*3.14*(0.0042/2)</f>
        <v>0.013188</v>
      </c>
      <c r="F461" s="200"/>
      <c r="G461" s="238" t="n">
        <f aca="false">((C461*D461)-F461)*E461</f>
        <v>1.30086432</v>
      </c>
      <c r="H461" s="239"/>
    </row>
    <row r="462" s="229" customFormat="true" ht="15" hidden="false" customHeight="true" outlineLevel="0" collapsed="false">
      <c r="A462" s="180"/>
      <c r="B462" s="216" t="s">
        <v>102</v>
      </c>
      <c r="C462" s="237" t="n">
        <f aca="false">9*3</f>
        <v>27</v>
      </c>
      <c r="D462" s="237" t="n">
        <v>5.46</v>
      </c>
      <c r="E462" s="200" t="n">
        <f aca="false">2*3.14*(0.008/2)</f>
        <v>0.02512</v>
      </c>
      <c r="F462" s="200"/>
      <c r="G462" s="238" t="n">
        <f aca="false">((C462*D462)-F462)*E462</f>
        <v>3.7031904</v>
      </c>
      <c r="H462" s="239"/>
    </row>
    <row r="463" s="229" customFormat="true" ht="15" hidden="false" customHeight="true" outlineLevel="0" collapsed="false">
      <c r="A463" s="180"/>
      <c r="B463" s="216"/>
      <c r="C463" s="237" t="n">
        <f aca="false">9*2</f>
        <v>18</v>
      </c>
      <c r="D463" s="237" t="n">
        <v>5.46</v>
      </c>
      <c r="E463" s="200" t="n">
        <f aca="false">2*3.14*(0.0042/2)</f>
        <v>0.013188</v>
      </c>
      <c r="F463" s="200"/>
      <c r="G463" s="238" t="n">
        <f aca="false">((C463*D463)-F463)*E463</f>
        <v>1.29611664</v>
      </c>
      <c r="H463" s="239"/>
    </row>
    <row r="464" s="229" customFormat="true" ht="15" hidden="false" customHeight="true" outlineLevel="0" collapsed="false">
      <c r="A464" s="180"/>
      <c r="B464" s="216" t="s">
        <v>103</v>
      </c>
      <c r="C464" s="237" t="n">
        <f aca="false">9*3</f>
        <v>27</v>
      </c>
      <c r="D464" s="237" t="n">
        <v>5.86</v>
      </c>
      <c r="E464" s="200" t="n">
        <f aca="false">2*3.14*(0.008/2)</f>
        <v>0.02512</v>
      </c>
      <c r="F464" s="200"/>
      <c r="G464" s="238" t="n">
        <f aca="false">((C464*D464)-F464)*E464</f>
        <v>3.9744864</v>
      </c>
      <c r="H464" s="239"/>
    </row>
    <row r="465" s="229" customFormat="true" ht="15" hidden="false" customHeight="true" outlineLevel="0" collapsed="false">
      <c r="A465" s="180"/>
      <c r="B465" s="216"/>
      <c r="C465" s="237" t="n">
        <f aca="false">9*2</f>
        <v>18</v>
      </c>
      <c r="D465" s="237" t="n">
        <v>5.86</v>
      </c>
      <c r="E465" s="200" t="n">
        <f aca="false">2*3.14*(0.0042/2)</f>
        <v>0.013188</v>
      </c>
      <c r="F465" s="200"/>
      <c r="G465" s="238" t="n">
        <f aca="false">((C465*D465)-F465)*E465</f>
        <v>1.39107024</v>
      </c>
      <c r="H465" s="239"/>
    </row>
    <row r="466" s="229" customFormat="true" ht="15" hidden="false" customHeight="true" outlineLevel="0" collapsed="false">
      <c r="A466" s="180"/>
      <c r="B466" s="216" t="s">
        <v>104</v>
      </c>
      <c r="C466" s="237" t="n">
        <f aca="false">9*3</f>
        <v>27</v>
      </c>
      <c r="D466" s="237" t="n">
        <v>5.48</v>
      </c>
      <c r="E466" s="200" t="n">
        <f aca="false">2*3.14*(0.008/2)</f>
        <v>0.02512</v>
      </c>
      <c r="F466" s="200"/>
      <c r="G466" s="238" t="n">
        <f aca="false">((C466*D466)-F466)*E466</f>
        <v>3.7167552</v>
      </c>
      <c r="H466" s="239"/>
    </row>
    <row r="467" s="229" customFormat="true" ht="15" hidden="false" customHeight="true" outlineLevel="0" collapsed="false">
      <c r="A467" s="180"/>
      <c r="B467" s="216"/>
      <c r="C467" s="237" t="n">
        <f aca="false">9*2</f>
        <v>18</v>
      </c>
      <c r="D467" s="237" t="n">
        <v>5.48</v>
      </c>
      <c r="E467" s="200" t="n">
        <f aca="false">2*3.14*(0.0042/2)</f>
        <v>0.013188</v>
      </c>
      <c r="F467" s="200"/>
      <c r="G467" s="238" t="n">
        <f aca="false">((C467*D467)-F467)*E467</f>
        <v>1.30086432</v>
      </c>
      <c r="H467" s="239"/>
    </row>
    <row r="468" s="229" customFormat="true" ht="15" hidden="false" customHeight="true" outlineLevel="0" collapsed="false">
      <c r="A468" s="180"/>
      <c r="B468" s="216" t="s">
        <v>105</v>
      </c>
      <c r="C468" s="237" t="n">
        <f aca="false">9*3</f>
        <v>27</v>
      </c>
      <c r="D468" s="237" t="n">
        <v>5.46</v>
      </c>
      <c r="E468" s="200" t="n">
        <f aca="false">2*3.14*(0.008/2)</f>
        <v>0.02512</v>
      </c>
      <c r="F468" s="200"/>
      <c r="G468" s="238" t="n">
        <f aca="false">((C468*D468)-F468)*E468</f>
        <v>3.7031904</v>
      </c>
      <c r="H468" s="239"/>
    </row>
    <row r="469" s="229" customFormat="true" ht="15" hidden="false" customHeight="true" outlineLevel="0" collapsed="false">
      <c r="A469" s="180"/>
      <c r="B469" s="216"/>
      <c r="C469" s="237" t="n">
        <f aca="false">9*2</f>
        <v>18</v>
      </c>
      <c r="D469" s="237" t="n">
        <v>5.46</v>
      </c>
      <c r="E469" s="200" t="n">
        <f aca="false">2*3.14*(0.0042/2)</f>
        <v>0.013188</v>
      </c>
      <c r="F469" s="200"/>
      <c r="G469" s="238" t="n">
        <f aca="false">((C469*D469)-F469)*E469</f>
        <v>1.29611664</v>
      </c>
      <c r="H469" s="239"/>
    </row>
    <row r="470" s="229" customFormat="true" ht="15" hidden="false" customHeight="true" outlineLevel="0" collapsed="false">
      <c r="A470" s="180"/>
      <c r="B470" s="216" t="s">
        <v>106</v>
      </c>
      <c r="C470" s="237" t="n">
        <f aca="false">9*3</f>
        <v>27</v>
      </c>
      <c r="D470" s="237" t="n">
        <v>5.86</v>
      </c>
      <c r="E470" s="200" t="n">
        <f aca="false">2*3.14*(0.008/2)</f>
        <v>0.02512</v>
      </c>
      <c r="F470" s="200"/>
      <c r="G470" s="238" t="n">
        <f aca="false">((C470*D470)-F470)*E470</f>
        <v>3.9744864</v>
      </c>
      <c r="H470" s="239"/>
    </row>
    <row r="471" s="229" customFormat="true" ht="15" hidden="false" customHeight="true" outlineLevel="0" collapsed="false">
      <c r="A471" s="180"/>
      <c r="B471" s="216"/>
      <c r="C471" s="237" t="n">
        <f aca="false">9*2</f>
        <v>18</v>
      </c>
      <c r="D471" s="237" t="n">
        <v>5.86</v>
      </c>
      <c r="E471" s="200" t="n">
        <f aca="false">2*3.14*(0.0042/2)</f>
        <v>0.013188</v>
      </c>
      <c r="F471" s="200"/>
      <c r="G471" s="238" t="n">
        <f aca="false">((C471*D471)-F471)*E471</f>
        <v>1.39107024</v>
      </c>
      <c r="H471" s="239"/>
    </row>
    <row r="472" s="229" customFormat="true" ht="15" hidden="false" customHeight="true" outlineLevel="0" collapsed="false">
      <c r="A472" s="180"/>
      <c r="B472" s="216" t="s">
        <v>166</v>
      </c>
      <c r="C472" s="237" t="n">
        <f aca="false">10*2</f>
        <v>20</v>
      </c>
      <c r="D472" s="237" t="n">
        <v>2.9</v>
      </c>
      <c r="E472" s="200" t="n">
        <f aca="false">2*3.14*(0.0063/2)</f>
        <v>0.019782</v>
      </c>
      <c r="F472" s="200"/>
      <c r="G472" s="238" t="n">
        <f aca="false">((C472*D472)-F472)*E472</f>
        <v>1.147356</v>
      </c>
      <c r="H472" s="239"/>
    </row>
    <row r="473" s="229" customFormat="true" ht="15" hidden="false" customHeight="true" outlineLevel="0" collapsed="false">
      <c r="A473" s="180"/>
      <c r="B473" s="216"/>
      <c r="C473" s="237" t="n">
        <f aca="false">10*2</f>
        <v>20</v>
      </c>
      <c r="D473" s="237" t="n">
        <v>2.9</v>
      </c>
      <c r="E473" s="200" t="n">
        <f aca="false">2*3.14*(0.0042/2)</f>
        <v>0.013188</v>
      </c>
      <c r="F473" s="200"/>
      <c r="G473" s="238" t="n">
        <f aca="false">((C473*D473)-F473)*E473</f>
        <v>0.764904</v>
      </c>
      <c r="H473" s="239"/>
    </row>
    <row r="474" s="229" customFormat="true" ht="15" hidden="false" customHeight="false" outlineLevel="0" collapsed="false">
      <c r="A474" s="180"/>
      <c r="B474" s="216" t="s">
        <v>167</v>
      </c>
      <c r="C474" s="203" t="n">
        <f aca="false">2*3</f>
        <v>6</v>
      </c>
      <c r="D474" s="203" t="n">
        <v>1.5</v>
      </c>
      <c r="E474" s="191" t="n">
        <f aca="false">2*3.14*(0.005/2)</f>
        <v>0.0157</v>
      </c>
      <c r="F474" s="191"/>
      <c r="G474" s="238" t="n">
        <f aca="false">((C474*D474)-F474)*E474</f>
        <v>0.1413</v>
      </c>
    </row>
    <row r="475" s="229" customFormat="true" ht="15" hidden="false" customHeight="false" outlineLevel="0" collapsed="false">
      <c r="A475" s="180"/>
      <c r="B475" s="216"/>
      <c r="C475" s="203" t="n">
        <f aca="false">2*2</f>
        <v>4</v>
      </c>
      <c r="D475" s="203" t="n">
        <v>1.5</v>
      </c>
      <c r="E475" s="191" t="n">
        <f aca="false">2*3.14*(0.0042/2)</f>
        <v>0.013188</v>
      </c>
      <c r="F475" s="191"/>
      <c r="G475" s="238" t="n">
        <f aca="false">((C475*D475)-F475)*E475</f>
        <v>0.079128</v>
      </c>
    </row>
    <row r="476" s="229" customFormat="true" ht="15" hidden="false" customHeight="false" outlineLevel="0" collapsed="false">
      <c r="A476" s="180"/>
      <c r="B476" s="228" t="s">
        <v>161</v>
      </c>
      <c r="C476" s="228"/>
      <c r="D476" s="228"/>
      <c r="E476" s="228"/>
      <c r="F476" s="228"/>
      <c r="G476" s="228"/>
      <c r="H476" s="172"/>
      <c r="I476" s="172"/>
    </row>
    <row r="477" s="210" customFormat="true" ht="15" hidden="false" customHeight="false" outlineLevel="0" collapsed="false">
      <c r="A477" s="180"/>
      <c r="B477" s="227" t="s">
        <v>169</v>
      </c>
      <c r="C477" s="203" t="n">
        <v>5</v>
      </c>
      <c r="D477" s="203" t="n">
        <v>5.43</v>
      </c>
      <c r="E477" s="191" t="n">
        <f aca="false">2*3.14*(0.02/2)</f>
        <v>0.0628</v>
      </c>
      <c r="F477" s="208"/>
      <c r="G477" s="192" t="n">
        <f aca="false">C477*D477*E477</f>
        <v>1.70502</v>
      </c>
      <c r="I477" s="172"/>
    </row>
    <row r="478" s="210" customFormat="true" ht="15" hidden="false" customHeight="false" outlineLevel="0" collapsed="false">
      <c r="A478" s="180"/>
      <c r="B478" s="227" t="s">
        <v>170</v>
      </c>
      <c r="C478" s="203" t="n">
        <v>37</v>
      </c>
      <c r="D478" s="203" t="n">
        <v>0.52</v>
      </c>
      <c r="E478" s="191" t="n">
        <f aca="false">2*3.14*(0.0063/2)</f>
        <v>0.019782</v>
      </c>
      <c r="F478" s="208"/>
      <c r="G478" s="192" t="n">
        <f aca="false">C478*D478*E478</f>
        <v>0.38060568</v>
      </c>
      <c r="I478" s="172"/>
    </row>
    <row r="479" s="210" customFormat="true" ht="15" hidden="false" customHeight="false" outlineLevel="0" collapsed="false">
      <c r="A479" s="180"/>
      <c r="B479" s="227" t="s">
        <v>171</v>
      </c>
      <c r="C479" s="203" t="n">
        <v>5</v>
      </c>
      <c r="D479" s="203" t="n">
        <v>5.28</v>
      </c>
      <c r="E479" s="191" t="n">
        <f aca="false">2*3.14*(0.02/2)</f>
        <v>0.0628</v>
      </c>
      <c r="F479" s="208"/>
      <c r="G479" s="192" t="n">
        <f aca="false">C479*D479*E479</f>
        <v>1.65792</v>
      </c>
      <c r="I479" s="172"/>
    </row>
    <row r="480" s="210" customFormat="true" ht="15" hidden="false" customHeight="false" outlineLevel="0" collapsed="false">
      <c r="A480" s="180"/>
      <c r="B480" s="227" t="s">
        <v>172</v>
      </c>
      <c r="C480" s="203" t="n">
        <v>36</v>
      </c>
      <c r="D480" s="203" t="n">
        <v>0.61</v>
      </c>
      <c r="E480" s="191" t="n">
        <f aca="false">2*3.14*(0.0063/2)</f>
        <v>0.019782</v>
      </c>
      <c r="F480" s="208"/>
      <c r="G480" s="192" t="n">
        <f aca="false">C480*D480*E480</f>
        <v>0.43441272</v>
      </c>
      <c r="I480" s="172"/>
    </row>
    <row r="481" s="210" customFormat="true" ht="15" hidden="false" customHeight="false" outlineLevel="0" collapsed="false">
      <c r="A481" s="180"/>
      <c r="B481" s="227" t="s">
        <v>173</v>
      </c>
      <c r="C481" s="203" t="n">
        <v>7</v>
      </c>
      <c r="D481" s="203" t="n">
        <v>5.66</v>
      </c>
      <c r="E481" s="191" t="n">
        <f aca="false">2*3.14*(0.02/2)</f>
        <v>0.0628</v>
      </c>
      <c r="F481" s="208"/>
      <c r="G481" s="192" t="n">
        <f aca="false">C481*D481*E481</f>
        <v>2.488136</v>
      </c>
      <c r="I481" s="172"/>
    </row>
    <row r="482" s="210" customFormat="true" ht="15" hidden="false" customHeight="false" outlineLevel="0" collapsed="false">
      <c r="A482" s="180"/>
      <c r="B482" s="227" t="s">
        <v>174</v>
      </c>
      <c r="C482" s="241" t="n">
        <v>38</v>
      </c>
      <c r="D482" s="241" t="n">
        <v>0.92</v>
      </c>
      <c r="E482" s="242" t="n">
        <f aca="false">2*3.14*(0.0063/2)</f>
        <v>0.019782</v>
      </c>
      <c r="F482" s="208"/>
      <c r="G482" s="192" t="n">
        <f aca="false">C482*D482*E482</f>
        <v>0.69157872</v>
      </c>
      <c r="I482" s="172"/>
    </row>
    <row r="483" s="229" customFormat="true" ht="15" hidden="false" customHeight="false" outlineLevel="0" collapsed="false">
      <c r="A483" s="180"/>
      <c r="B483" s="228" t="s">
        <v>220</v>
      </c>
      <c r="C483" s="228"/>
      <c r="D483" s="228"/>
      <c r="E483" s="228"/>
      <c r="F483" s="228"/>
      <c r="G483" s="228"/>
    </row>
    <row r="484" s="229" customFormat="true" ht="15" hidden="false" customHeight="false" outlineLevel="0" collapsed="false">
      <c r="A484" s="180"/>
      <c r="B484" s="278" t="s">
        <v>221</v>
      </c>
      <c r="C484" s="203" t="n">
        <v>1</v>
      </c>
      <c r="D484" s="203" t="n">
        <v>826.09</v>
      </c>
      <c r="E484" s="279" t="n">
        <f aca="false">2*3.14*(0.0042/2)</f>
        <v>0.013188</v>
      </c>
      <c r="F484" s="280"/>
      <c r="G484" s="281" t="n">
        <f aca="false">C484*D484*E484</f>
        <v>10.89447492</v>
      </c>
    </row>
    <row r="485" s="229" customFormat="true" ht="15" hidden="false" customHeight="false" outlineLevel="0" collapsed="false">
      <c r="A485" s="180"/>
      <c r="B485" s="278" t="s">
        <v>222</v>
      </c>
      <c r="C485" s="241" t="n">
        <v>1</v>
      </c>
      <c r="D485" s="241" t="n">
        <v>18.18</v>
      </c>
      <c r="E485" s="279" t="n">
        <f aca="false">2*3.14*(0.005/2)</f>
        <v>0.0157</v>
      </c>
      <c r="F485" s="282"/>
      <c r="G485" s="281" t="n">
        <f aca="false">C485*D485*E485</f>
        <v>0.285426</v>
      </c>
    </row>
    <row r="486" s="229" customFormat="true" ht="15" hidden="false" customHeight="false" outlineLevel="0" collapsed="false">
      <c r="A486" s="180"/>
      <c r="B486" s="278" t="s">
        <v>223</v>
      </c>
      <c r="C486" s="241" t="n">
        <v>1</v>
      </c>
      <c r="D486" s="241" t="n">
        <v>61.42</v>
      </c>
      <c r="E486" s="279" t="n">
        <f aca="false">2*3.14*(0.0063/2)</f>
        <v>0.019782</v>
      </c>
      <c r="F486" s="282"/>
      <c r="G486" s="281" t="n">
        <f aca="false">C486*D486*E486</f>
        <v>1.21501044</v>
      </c>
    </row>
    <row r="487" s="229" customFormat="true" ht="15" hidden="false" customHeight="false" outlineLevel="0" collapsed="false">
      <c r="A487" s="180"/>
      <c r="B487" s="278" t="s">
        <v>224</v>
      </c>
      <c r="C487" s="241" t="n">
        <v>1</v>
      </c>
      <c r="D487" s="241" t="n">
        <v>1128.78</v>
      </c>
      <c r="E487" s="279" t="n">
        <f aca="false">2*3.14*(0.008/2)</f>
        <v>0.02512</v>
      </c>
      <c r="F487" s="282"/>
      <c r="G487" s="281" t="n">
        <f aca="false">C487*D487*E487</f>
        <v>28.3549536</v>
      </c>
    </row>
    <row r="488" s="229" customFormat="true" ht="15" hidden="false" customHeight="false" outlineLevel="0" collapsed="false">
      <c r="A488" s="180"/>
      <c r="B488" s="228" t="s">
        <v>225</v>
      </c>
      <c r="C488" s="228"/>
      <c r="D488" s="228"/>
      <c r="E488" s="228"/>
      <c r="F488" s="228"/>
      <c r="G488" s="228"/>
    </row>
    <row r="489" s="229" customFormat="true" ht="15" hidden="false" customHeight="false" outlineLevel="0" collapsed="false">
      <c r="A489" s="180"/>
      <c r="B489" s="278" t="s">
        <v>226</v>
      </c>
      <c r="C489" s="203" t="n">
        <v>1</v>
      </c>
      <c r="D489" s="203" t="n">
        <v>719.84</v>
      </c>
      <c r="E489" s="279" t="n">
        <f aca="false">2*3.14*(0.0042/2)</f>
        <v>0.013188</v>
      </c>
      <c r="F489" s="280"/>
      <c r="G489" s="281" t="n">
        <f aca="false">C489*D489*E489</f>
        <v>9.49324992</v>
      </c>
    </row>
    <row r="490" s="229" customFormat="true" ht="15" hidden="false" customHeight="false" outlineLevel="0" collapsed="false">
      <c r="A490" s="180"/>
      <c r="B490" s="278" t="s">
        <v>227</v>
      </c>
      <c r="C490" s="241" t="n">
        <v>1</v>
      </c>
      <c r="D490" s="241" t="n">
        <v>15</v>
      </c>
      <c r="E490" s="279" t="n">
        <f aca="false">2*3.14*(0.005/2)</f>
        <v>0.0157</v>
      </c>
      <c r="F490" s="282"/>
      <c r="G490" s="281" t="n">
        <f aca="false">C490*D490*E490</f>
        <v>0.2355</v>
      </c>
    </row>
    <row r="491" s="229" customFormat="true" ht="15" hidden="false" customHeight="false" outlineLevel="0" collapsed="false">
      <c r="A491" s="180"/>
      <c r="B491" s="278" t="s">
        <v>228</v>
      </c>
      <c r="C491" s="241" t="n">
        <v>1</v>
      </c>
      <c r="D491" s="241" t="n">
        <v>53.8</v>
      </c>
      <c r="E491" s="279" t="n">
        <f aca="false">2*3.14*(0.0063/2)</f>
        <v>0.019782</v>
      </c>
      <c r="F491" s="282"/>
      <c r="G491" s="281" t="n">
        <f aca="false">C491*D491*E491</f>
        <v>1.0642716</v>
      </c>
    </row>
    <row r="492" s="229" customFormat="true" ht="15" hidden="false" customHeight="false" outlineLevel="0" collapsed="false">
      <c r="A492" s="180"/>
      <c r="B492" s="278" t="s">
        <v>229</v>
      </c>
      <c r="C492" s="241" t="n">
        <v>1</v>
      </c>
      <c r="D492" s="241" t="n">
        <f aca="false">I398</f>
        <v>979.74</v>
      </c>
      <c r="E492" s="279" t="n">
        <f aca="false">2*3.14*(0.008/2)</f>
        <v>0.02512</v>
      </c>
      <c r="F492" s="282"/>
      <c r="G492" s="281" t="n">
        <f aca="false">C492*D492*E492</f>
        <v>24.6110688</v>
      </c>
    </row>
    <row r="493" s="172" customFormat="true" ht="15.75" hidden="false" customHeight="false" outlineLevel="0" collapsed="false">
      <c r="A493" s="180"/>
      <c r="B493" s="193" t="s">
        <v>189</v>
      </c>
      <c r="C493" s="193"/>
      <c r="D493" s="193"/>
      <c r="E493" s="193"/>
      <c r="F493" s="193"/>
      <c r="G493" s="194" t="n">
        <f aca="false">SUM(G442:G487)-SUM(G489:G492)</f>
        <v>78.32840528</v>
      </c>
      <c r="H493" s="229"/>
      <c r="I493" s="229"/>
    </row>
    <row r="494" customFormat="false" ht="15" hidden="false" customHeight="false" outlineLevel="0" collapsed="false">
      <c r="A494" s="243"/>
      <c r="B494" s="195"/>
      <c r="C494" s="229"/>
      <c r="D494" s="229"/>
      <c r="E494" s="197"/>
      <c r="F494" s="197"/>
      <c r="H494" s="229"/>
      <c r="I494" s="229"/>
    </row>
    <row r="495" s="210" customFormat="true" ht="15" hidden="false" customHeight="false" outlineLevel="0" collapsed="false">
      <c r="A495" s="182" t="s">
        <v>51</v>
      </c>
      <c r="B495" s="195" t="str">
        <f aca="false">'Composições '!C198</f>
        <v>Forma para recuperação de concreto com chapas plastificadas, inclusive escoramento</v>
      </c>
      <c r="C495" s="229"/>
      <c r="D495" s="229"/>
      <c r="E495" s="209"/>
      <c r="F495" s="209"/>
      <c r="G495" s="211"/>
    </row>
    <row r="496" s="210" customFormat="true" ht="15.75" hidden="false" customHeight="false" outlineLevel="0" collapsed="false">
      <c r="A496" s="182"/>
      <c r="B496" s="195"/>
      <c r="C496" s="229"/>
      <c r="D496" s="229"/>
      <c r="E496" s="209"/>
      <c r="F496" s="209"/>
      <c r="G496" s="211"/>
    </row>
    <row r="497" s="210" customFormat="true" ht="15" hidden="false" customHeight="false" outlineLevel="0" collapsed="false">
      <c r="A497" s="180"/>
      <c r="B497" s="185" t="s">
        <v>91</v>
      </c>
      <c r="C497" s="186" t="s">
        <v>109</v>
      </c>
      <c r="D497" s="186" t="s">
        <v>94</v>
      </c>
      <c r="E497" s="187" t="s">
        <v>110</v>
      </c>
      <c r="F497" s="187" t="s">
        <v>93</v>
      </c>
      <c r="G497" s="236" t="s">
        <v>176</v>
      </c>
      <c r="I497" s="211"/>
    </row>
    <row r="498" s="229" customFormat="true" ht="15" hidden="false" customHeight="false" outlineLevel="0" collapsed="false">
      <c r="A498" s="180"/>
      <c r="B498" s="228" t="s">
        <v>230</v>
      </c>
      <c r="C498" s="228"/>
      <c r="D498" s="228"/>
      <c r="E498" s="228"/>
      <c r="F498" s="228"/>
      <c r="G498" s="228"/>
      <c r="H498" s="210"/>
    </row>
    <row r="499" s="210" customFormat="true" ht="15" hidden="false" customHeight="false" outlineLevel="0" collapsed="false">
      <c r="A499" s="180"/>
      <c r="B499" s="216" t="s">
        <v>153</v>
      </c>
      <c r="C499" s="199" t="n">
        <v>8</v>
      </c>
      <c r="D499" s="199" t="n">
        <v>5.73</v>
      </c>
      <c r="E499" s="200" t="n">
        <v>0.1</v>
      </c>
      <c r="F499" s="230" t="n">
        <v>0.06</v>
      </c>
      <c r="G499" s="192" t="n">
        <f aca="false">C499*D499*((F499*2)+E499)</f>
        <v>10.0848</v>
      </c>
      <c r="H499" s="172"/>
      <c r="I499" s="172"/>
    </row>
    <row r="500" s="210" customFormat="true" ht="15" hidden="false" customHeight="false" outlineLevel="0" collapsed="false">
      <c r="A500" s="180"/>
      <c r="B500" s="216"/>
      <c r="C500" s="199" t="n">
        <v>1</v>
      </c>
      <c r="D500" s="199" t="n">
        <v>5.73</v>
      </c>
      <c r="E500" s="200" t="n">
        <v>0.18</v>
      </c>
      <c r="F500" s="230" t="n">
        <v>0.06</v>
      </c>
      <c r="G500" s="192" t="n">
        <f aca="false">C500*D500*(F500+E500)</f>
        <v>1.3752</v>
      </c>
      <c r="H500" s="172"/>
      <c r="I500" s="172"/>
    </row>
    <row r="501" s="210" customFormat="true" ht="15" hidden="false" customHeight="false" outlineLevel="0" collapsed="false">
      <c r="A501" s="180"/>
      <c r="B501" s="216"/>
      <c r="C501" s="199" t="n">
        <v>9</v>
      </c>
      <c r="D501" s="199" t="n">
        <v>5.48</v>
      </c>
      <c r="E501" s="200" t="n">
        <v>0.1</v>
      </c>
      <c r="F501" s="230" t="n">
        <v>0.06</v>
      </c>
      <c r="G501" s="192" t="n">
        <f aca="false">C501*D501*((F501*2)+E501)</f>
        <v>10.8504</v>
      </c>
      <c r="H501" s="172"/>
      <c r="I501" s="172"/>
    </row>
    <row r="502" s="210" customFormat="true" ht="15" hidden="false" customHeight="false" outlineLevel="0" collapsed="false">
      <c r="A502" s="180"/>
      <c r="B502" s="216" t="s">
        <v>154</v>
      </c>
      <c r="C502" s="199" t="n">
        <v>8</v>
      </c>
      <c r="D502" s="199" t="n">
        <v>5.73</v>
      </c>
      <c r="E502" s="200" t="n">
        <v>0.1</v>
      </c>
      <c r="F502" s="230" t="n">
        <v>0.06</v>
      </c>
      <c r="G502" s="192" t="n">
        <f aca="false">C502*D502*((F502*2)+E502)</f>
        <v>10.0848</v>
      </c>
      <c r="H502" s="172"/>
      <c r="I502" s="172"/>
    </row>
    <row r="503" s="210" customFormat="true" ht="15" hidden="false" customHeight="false" outlineLevel="0" collapsed="false">
      <c r="A503" s="180"/>
      <c r="B503" s="216"/>
      <c r="C503" s="199" t="n">
        <v>1</v>
      </c>
      <c r="D503" s="199" t="n">
        <v>5.73</v>
      </c>
      <c r="E503" s="200" t="n">
        <v>0.16</v>
      </c>
      <c r="F503" s="230" t="n">
        <v>0.06</v>
      </c>
      <c r="G503" s="192" t="n">
        <f aca="false">C503*D503*(F503+E503)</f>
        <v>1.2606</v>
      </c>
      <c r="H503" s="172"/>
      <c r="I503" s="172"/>
    </row>
    <row r="504" s="210" customFormat="true" ht="15" hidden="false" customHeight="false" outlineLevel="0" collapsed="false">
      <c r="A504" s="180"/>
      <c r="B504" s="216"/>
      <c r="C504" s="199" t="n">
        <v>9</v>
      </c>
      <c r="D504" s="199" t="n">
        <v>5.46</v>
      </c>
      <c r="E504" s="200" t="n">
        <v>0.1</v>
      </c>
      <c r="F504" s="230" t="n">
        <v>0.06</v>
      </c>
      <c r="G504" s="192" t="n">
        <f aca="false">C504*D504*((F504*2)+E504)</f>
        <v>10.8108</v>
      </c>
      <c r="H504" s="172"/>
      <c r="I504" s="172"/>
    </row>
    <row r="505" s="210" customFormat="true" ht="15" hidden="false" customHeight="false" outlineLevel="0" collapsed="false">
      <c r="A505" s="180"/>
      <c r="B505" s="216" t="s">
        <v>155</v>
      </c>
      <c r="C505" s="199" t="n">
        <v>9</v>
      </c>
      <c r="D505" s="199" t="n">
        <v>5.73</v>
      </c>
      <c r="E505" s="200" t="n">
        <v>0.1</v>
      </c>
      <c r="F505" s="230" t="n">
        <v>0.06</v>
      </c>
      <c r="G505" s="192" t="n">
        <f aca="false">C505*D505*((F505*2)+E505)</f>
        <v>11.3454</v>
      </c>
      <c r="H505" s="172"/>
      <c r="I505" s="172"/>
    </row>
    <row r="506" s="210" customFormat="true" ht="15" hidden="false" customHeight="false" outlineLevel="0" collapsed="false">
      <c r="A506" s="180"/>
      <c r="B506" s="216"/>
      <c r="C506" s="203" t="n">
        <v>9</v>
      </c>
      <c r="D506" s="203" t="n">
        <v>5.86</v>
      </c>
      <c r="E506" s="191" t="n">
        <v>0.1</v>
      </c>
      <c r="F506" s="232" t="n">
        <v>0.06</v>
      </c>
      <c r="G506" s="283" t="n">
        <f aca="false">C506*D506*((F506*2)+E506)</f>
        <v>11.6028</v>
      </c>
      <c r="H506" s="172"/>
      <c r="I506" s="172"/>
    </row>
    <row r="507" s="210" customFormat="true" ht="15" hidden="false" customHeight="false" outlineLevel="0" collapsed="false">
      <c r="A507" s="180"/>
      <c r="B507" s="227" t="s">
        <v>156</v>
      </c>
      <c r="C507" s="203" t="n">
        <v>16</v>
      </c>
      <c r="D507" s="203" t="n">
        <v>5.48</v>
      </c>
      <c r="E507" s="191" t="n">
        <v>0.1</v>
      </c>
      <c r="F507" s="232" t="n">
        <v>0.06</v>
      </c>
      <c r="G507" s="283" t="n">
        <f aca="false">C507*D507*((F507*2)+E507)</f>
        <v>19.2896</v>
      </c>
      <c r="H507" s="172"/>
      <c r="I507" s="172"/>
    </row>
    <row r="508" s="210" customFormat="true" ht="15" hidden="false" customHeight="false" outlineLevel="0" collapsed="false">
      <c r="A508" s="180"/>
      <c r="B508" s="227"/>
      <c r="C508" s="203" t="n">
        <v>2</v>
      </c>
      <c r="D508" s="203" t="n">
        <v>5.48</v>
      </c>
      <c r="E508" s="191" t="n">
        <v>0.18</v>
      </c>
      <c r="F508" s="232" t="n">
        <v>0.06</v>
      </c>
      <c r="G508" s="283" t="n">
        <f aca="false">C508*D508*(F508+E508)</f>
        <v>2.6304</v>
      </c>
      <c r="H508" s="172"/>
      <c r="I508" s="172"/>
    </row>
    <row r="509" s="210" customFormat="true" ht="15" hidden="false" customHeight="false" outlineLevel="0" collapsed="false">
      <c r="A509" s="180"/>
      <c r="B509" s="202" t="s">
        <v>157</v>
      </c>
      <c r="C509" s="203" t="n">
        <v>8</v>
      </c>
      <c r="D509" s="203" t="n">
        <v>5.48</v>
      </c>
      <c r="E509" s="191" t="n">
        <v>0.1</v>
      </c>
      <c r="F509" s="232" t="n">
        <v>0.06</v>
      </c>
      <c r="G509" s="283" t="n">
        <f aca="false">C509*D509*((F509*2)+E509)</f>
        <v>9.6448</v>
      </c>
      <c r="H509" s="172"/>
      <c r="I509" s="172"/>
    </row>
    <row r="510" s="210" customFormat="true" ht="15" hidden="false" customHeight="false" outlineLevel="0" collapsed="false">
      <c r="A510" s="180"/>
      <c r="B510" s="202"/>
      <c r="C510" s="203" t="n">
        <v>1</v>
      </c>
      <c r="D510" s="203" t="n">
        <v>5.48</v>
      </c>
      <c r="E510" s="191" t="n">
        <v>0.16</v>
      </c>
      <c r="F510" s="232" t="n">
        <v>0.06</v>
      </c>
      <c r="G510" s="283" t="n">
        <f aca="false">C510*D510*(F510+E510)</f>
        <v>1.2056</v>
      </c>
      <c r="H510" s="172"/>
      <c r="I510" s="172"/>
    </row>
    <row r="511" s="210" customFormat="true" ht="15" hidden="false" customHeight="false" outlineLevel="0" collapsed="false">
      <c r="A511" s="180"/>
      <c r="B511" s="202"/>
      <c r="C511" s="203" t="n">
        <v>8</v>
      </c>
      <c r="D511" s="203" t="n">
        <v>5.46</v>
      </c>
      <c r="E511" s="191" t="n">
        <v>0.1</v>
      </c>
      <c r="F511" s="232" t="n">
        <v>0.06</v>
      </c>
      <c r="G511" s="283" t="n">
        <f aca="false">C511*D511*((F511*2)+E511)</f>
        <v>9.6096</v>
      </c>
      <c r="H511" s="172"/>
      <c r="I511" s="172"/>
    </row>
    <row r="512" s="210" customFormat="true" ht="15" hidden="false" customHeight="false" outlineLevel="0" collapsed="false">
      <c r="A512" s="180"/>
      <c r="B512" s="202"/>
      <c r="C512" s="203" t="n">
        <v>1</v>
      </c>
      <c r="D512" s="203" t="n">
        <v>5.46</v>
      </c>
      <c r="E512" s="191" t="n">
        <v>0.18</v>
      </c>
      <c r="F512" s="232" t="n">
        <v>0.06</v>
      </c>
      <c r="G512" s="283" t="n">
        <f aca="false">C512*D512*(F512+E512)</f>
        <v>1.3104</v>
      </c>
      <c r="H512" s="172"/>
      <c r="I512" s="172"/>
    </row>
    <row r="513" s="210" customFormat="true" ht="15" hidden="false" customHeight="false" outlineLevel="0" collapsed="false">
      <c r="A513" s="180"/>
      <c r="B513" s="202" t="s">
        <v>158</v>
      </c>
      <c r="C513" s="203" t="n">
        <v>9</v>
      </c>
      <c r="D513" s="203" t="n">
        <v>5.48</v>
      </c>
      <c r="E513" s="191" t="n">
        <v>0.1</v>
      </c>
      <c r="F513" s="232" t="n">
        <v>0.06</v>
      </c>
      <c r="G513" s="283" t="n">
        <f aca="false">C513*D513*((F513*2)+E513)</f>
        <v>10.8504</v>
      </c>
      <c r="H513" s="172"/>
      <c r="I513" s="172"/>
    </row>
    <row r="514" s="210" customFormat="true" ht="15" hidden="false" customHeight="false" outlineLevel="0" collapsed="false">
      <c r="A514" s="180"/>
      <c r="B514" s="202"/>
      <c r="C514" s="203" t="n">
        <v>8</v>
      </c>
      <c r="D514" s="203" t="n">
        <v>5.86</v>
      </c>
      <c r="E514" s="191" t="n">
        <v>0.1</v>
      </c>
      <c r="F514" s="232" t="n">
        <v>0.06</v>
      </c>
      <c r="G514" s="283" t="n">
        <f aca="false">C514*D514*((F514*2)+E514)</f>
        <v>10.3136</v>
      </c>
      <c r="H514" s="172"/>
      <c r="I514" s="172"/>
    </row>
    <row r="515" s="210" customFormat="true" ht="15" hidden="false" customHeight="false" outlineLevel="0" collapsed="false">
      <c r="A515" s="180"/>
      <c r="B515" s="202"/>
      <c r="C515" s="203" t="n">
        <v>1</v>
      </c>
      <c r="D515" s="203" t="n">
        <v>5.86</v>
      </c>
      <c r="E515" s="191" t="n">
        <v>0.18</v>
      </c>
      <c r="F515" s="232" t="n">
        <v>0.06</v>
      </c>
      <c r="G515" s="283" t="n">
        <f aca="false">C515*D515*(F515+E515)</f>
        <v>1.4064</v>
      </c>
      <c r="H515" s="172"/>
      <c r="I515" s="172"/>
    </row>
    <row r="516" s="210" customFormat="true" ht="15" hidden="false" customHeight="false" outlineLevel="0" collapsed="false">
      <c r="A516" s="180"/>
      <c r="B516" s="216" t="s">
        <v>159</v>
      </c>
      <c r="C516" s="203" t="n">
        <v>4</v>
      </c>
      <c r="D516" s="203" t="n">
        <v>6.5</v>
      </c>
      <c r="E516" s="191" t="n">
        <v>0.1</v>
      </c>
      <c r="F516" s="232" t="n">
        <v>0.06</v>
      </c>
      <c r="G516" s="283" t="n">
        <f aca="false">C516*D516*(F516+E516)</f>
        <v>4.16</v>
      </c>
      <c r="H516" s="172"/>
      <c r="I516" s="172"/>
    </row>
    <row r="517" s="210" customFormat="true" ht="15" hidden="false" customHeight="false" outlineLevel="0" collapsed="false">
      <c r="A517" s="180"/>
      <c r="B517" s="216"/>
      <c r="C517" s="203" t="n">
        <v>10</v>
      </c>
      <c r="D517" s="203" t="n">
        <v>2.9</v>
      </c>
      <c r="E517" s="191" t="n">
        <v>0.1</v>
      </c>
      <c r="F517" s="232" t="n">
        <v>0.06</v>
      </c>
      <c r="G517" s="283" t="n">
        <f aca="false">C517*D517*(F517+E517)</f>
        <v>4.64</v>
      </c>
      <c r="H517" s="172"/>
      <c r="I517" s="172"/>
    </row>
    <row r="518" s="210" customFormat="true" ht="15" hidden="false" customHeight="false" outlineLevel="0" collapsed="false">
      <c r="A518" s="180"/>
      <c r="B518" s="284" t="s">
        <v>160</v>
      </c>
      <c r="C518" s="203" t="n">
        <v>4</v>
      </c>
      <c r="D518" s="203" t="n">
        <v>1.5</v>
      </c>
      <c r="E518" s="191" t="n">
        <v>0.1</v>
      </c>
      <c r="F518" s="232" t="n">
        <v>0.06</v>
      </c>
      <c r="G518" s="283" t="n">
        <f aca="false">C518*D518*(F518+E518)</f>
        <v>0.96</v>
      </c>
      <c r="H518" s="172"/>
      <c r="I518" s="172"/>
    </row>
    <row r="519" s="229" customFormat="true" ht="15" hidden="false" customHeight="false" outlineLevel="0" collapsed="false">
      <c r="A519" s="180"/>
      <c r="B519" s="228" t="s">
        <v>231</v>
      </c>
      <c r="C519" s="228"/>
      <c r="D519" s="228"/>
      <c r="E519" s="228"/>
      <c r="F519" s="228"/>
      <c r="G519" s="228"/>
      <c r="H519" s="210"/>
    </row>
    <row r="520" s="210" customFormat="true" ht="15" hidden="false" customHeight="false" outlineLevel="0" collapsed="false">
      <c r="A520" s="180"/>
      <c r="B520" s="227" t="s">
        <v>134</v>
      </c>
      <c r="C520" s="203" t="n">
        <v>1</v>
      </c>
      <c r="D520" s="203" t="n">
        <v>5.43</v>
      </c>
      <c r="E520" s="191" t="n">
        <v>0.15</v>
      </c>
      <c r="F520" s="200" t="n">
        <v>0.5</v>
      </c>
      <c r="G520" s="192" t="n">
        <f aca="false">C520*D520*(E520+(F520*2))</f>
        <v>6.2445</v>
      </c>
      <c r="I520" s="211"/>
    </row>
    <row r="521" s="210" customFormat="true" ht="15" hidden="false" customHeight="false" outlineLevel="0" collapsed="false">
      <c r="A521" s="180"/>
      <c r="B521" s="227" t="s">
        <v>135</v>
      </c>
      <c r="C521" s="203" t="n">
        <v>1</v>
      </c>
      <c r="D521" s="203" t="n">
        <v>5.28</v>
      </c>
      <c r="E521" s="191" t="n">
        <v>0.15</v>
      </c>
      <c r="F521" s="200" t="n">
        <v>0.5</v>
      </c>
      <c r="G521" s="192" t="n">
        <f aca="false">C521*D521*(E521+(F521*2))</f>
        <v>6.072</v>
      </c>
      <c r="I521" s="211"/>
    </row>
    <row r="522" s="210" customFormat="true" ht="15" hidden="false" customHeight="false" outlineLevel="0" collapsed="false">
      <c r="A522" s="180"/>
      <c r="B522" s="216" t="s">
        <v>162</v>
      </c>
      <c r="C522" s="203" t="n">
        <v>1</v>
      </c>
      <c r="D522" s="203" t="n">
        <v>5.66</v>
      </c>
      <c r="E522" s="191" t="n">
        <v>0.15</v>
      </c>
      <c r="F522" s="200" t="n">
        <v>0.5</v>
      </c>
      <c r="G522" s="192" t="n">
        <f aca="false">C522*D522*(E522+(F522*2))</f>
        <v>6.509</v>
      </c>
      <c r="I522" s="211"/>
    </row>
    <row r="523" s="229" customFormat="true" ht="15" hidden="false" customHeight="false" outlineLevel="0" collapsed="false">
      <c r="A523" s="180"/>
      <c r="B523" s="228" t="s">
        <v>232</v>
      </c>
      <c r="C523" s="228"/>
      <c r="D523" s="228"/>
      <c r="E523" s="228"/>
      <c r="F523" s="228"/>
      <c r="G523" s="228"/>
      <c r="H523" s="210"/>
    </row>
    <row r="524" s="210" customFormat="true" ht="15" hidden="false" customHeight="false" outlineLevel="0" collapsed="false">
      <c r="A524" s="180"/>
      <c r="B524" s="284" t="s">
        <v>153</v>
      </c>
      <c r="C524" s="199" t="n">
        <f aca="false">18*4</f>
        <v>72</v>
      </c>
      <c r="D524" s="199" t="n">
        <v>0.3</v>
      </c>
      <c r="E524" s="200" t="n">
        <v>0.075</v>
      </c>
      <c r="F524" s="200" t="n">
        <v>0.1</v>
      </c>
      <c r="G524" s="192" t="n">
        <f aca="false">C524*((2*((E524*F524)/2))+(D524*E524))</f>
        <v>2.16</v>
      </c>
      <c r="H524" s="172"/>
      <c r="I524" s="172"/>
    </row>
    <row r="525" s="210" customFormat="true" ht="15" hidden="false" customHeight="false" outlineLevel="0" collapsed="false">
      <c r="A525" s="180"/>
      <c r="B525" s="284" t="s">
        <v>154</v>
      </c>
      <c r="C525" s="199" t="n">
        <f aca="false">18*4</f>
        <v>72</v>
      </c>
      <c r="D525" s="199" t="n">
        <v>0.3</v>
      </c>
      <c r="E525" s="200" t="n">
        <v>0.075</v>
      </c>
      <c r="F525" s="200" t="n">
        <v>0.1</v>
      </c>
      <c r="G525" s="192" t="n">
        <f aca="false">C525*((2*((E525*F525)/2))+(D525*E525))</f>
        <v>2.16</v>
      </c>
      <c r="H525" s="172"/>
      <c r="I525" s="172"/>
    </row>
    <row r="526" s="210" customFormat="true" ht="15" hidden="false" customHeight="false" outlineLevel="0" collapsed="false">
      <c r="A526" s="180"/>
      <c r="B526" s="284" t="s">
        <v>155</v>
      </c>
      <c r="C526" s="199" t="n">
        <f aca="false">18*4</f>
        <v>72</v>
      </c>
      <c r="D526" s="199" t="n">
        <v>0.3</v>
      </c>
      <c r="E526" s="200" t="n">
        <v>0.075</v>
      </c>
      <c r="F526" s="200" t="n">
        <v>0.1</v>
      </c>
      <c r="G526" s="192" t="n">
        <f aca="false">C526*((2*((E526*F526)/2))+(D526*E526))</f>
        <v>2.16</v>
      </c>
      <c r="H526" s="172"/>
      <c r="I526" s="172"/>
    </row>
    <row r="527" s="210" customFormat="true" ht="15" hidden="false" customHeight="false" outlineLevel="0" collapsed="false">
      <c r="A527" s="180"/>
      <c r="B527" s="227" t="s">
        <v>156</v>
      </c>
      <c r="C527" s="203" t="n">
        <f aca="false">18*4</f>
        <v>72</v>
      </c>
      <c r="D527" s="199" t="n">
        <v>0.3</v>
      </c>
      <c r="E527" s="200" t="n">
        <v>0.075</v>
      </c>
      <c r="F527" s="200" t="n">
        <v>0.1</v>
      </c>
      <c r="G527" s="192" t="n">
        <f aca="false">C527*((2*((E527*F527)/2))+(D527*E527))</f>
        <v>2.16</v>
      </c>
      <c r="H527" s="172"/>
      <c r="I527" s="172"/>
    </row>
    <row r="528" s="210" customFormat="true" ht="15" hidden="false" customHeight="false" outlineLevel="0" collapsed="false">
      <c r="A528" s="180"/>
      <c r="B528" s="227" t="s">
        <v>157</v>
      </c>
      <c r="C528" s="237" t="n">
        <f aca="false">18*4</f>
        <v>72</v>
      </c>
      <c r="D528" s="199" t="n">
        <v>0.3</v>
      </c>
      <c r="E528" s="200" t="n">
        <v>0.075</v>
      </c>
      <c r="F528" s="200" t="n">
        <v>0.1</v>
      </c>
      <c r="G528" s="192" t="n">
        <f aca="false">C528*((2*((E528*F528)/2))+(D528*E528))</f>
        <v>2.16</v>
      </c>
      <c r="H528" s="172"/>
      <c r="I528" s="172"/>
    </row>
    <row r="529" s="210" customFormat="true" ht="15" hidden="false" customHeight="false" outlineLevel="0" collapsed="false">
      <c r="A529" s="180"/>
      <c r="B529" s="227" t="s">
        <v>158</v>
      </c>
      <c r="C529" s="237" t="n">
        <f aca="false">18*4</f>
        <v>72</v>
      </c>
      <c r="D529" s="199" t="n">
        <v>0.3</v>
      </c>
      <c r="E529" s="200" t="n">
        <v>0.075</v>
      </c>
      <c r="F529" s="200" t="n">
        <v>0.1</v>
      </c>
      <c r="G529" s="192" t="n">
        <f aca="false">C529*((2*((E529*F529)/2))+(D529*E529))</f>
        <v>2.16</v>
      </c>
      <c r="H529" s="172"/>
      <c r="I529" s="172"/>
    </row>
    <row r="530" s="210" customFormat="true" ht="15" hidden="false" customHeight="false" outlineLevel="0" collapsed="false">
      <c r="A530" s="180"/>
      <c r="B530" s="284" t="s">
        <v>159</v>
      </c>
      <c r="C530" s="203" t="n">
        <v>36</v>
      </c>
      <c r="D530" s="199" t="n">
        <v>0.3</v>
      </c>
      <c r="E530" s="200" t="n">
        <v>0.075</v>
      </c>
      <c r="F530" s="200" t="n">
        <v>0.1</v>
      </c>
      <c r="G530" s="192" t="n">
        <f aca="false">C530*((2*((E530*F530)/2))+(D530*E530))</f>
        <v>1.08</v>
      </c>
      <c r="H530" s="172"/>
      <c r="I530" s="172"/>
    </row>
    <row r="531" s="210" customFormat="true" ht="15" hidden="false" customHeight="false" outlineLevel="0" collapsed="false">
      <c r="A531" s="180"/>
      <c r="B531" s="284" t="s">
        <v>160</v>
      </c>
      <c r="C531" s="203" t="n">
        <v>4</v>
      </c>
      <c r="D531" s="199" t="n">
        <v>0.3</v>
      </c>
      <c r="E531" s="200" t="n">
        <v>0.075</v>
      </c>
      <c r="F531" s="200" t="n">
        <v>0.1</v>
      </c>
      <c r="G531" s="192" t="n">
        <f aca="false">C531*((2*((E531*F531)/2))+(D531*E531))</f>
        <v>0.12</v>
      </c>
      <c r="H531" s="172"/>
      <c r="I531" s="172"/>
    </row>
    <row r="532" s="210" customFormat="true" ht="15" hidden="false" customHeight="false" outlineLevel="0" collapsed="false">
      <c r="A532" s="180"/>
      <c r="B532" s="227" t="s">
        <v>134</v>
      </c>
      <c r="C532" s="203" t="n">
        <v>4</v>
      </c>
      <c r="D532" s="199" t="n">
        <v>0.3</v>
      </c>
      <c r="E532" s="200" t="n">
        <v>0.075</v>
      </c>
      <c r="F532" s="200" t="n">
        <v>0.1</v>
      </c>
      <c r="G532" s="192" t="n">
        <f aca="false">C532*((2*((E532*F532)/2))+(D532*E532))</f>
        <v>0.12</v>
      </c>
      <c r="I532" s="211"/>
    </row>
    <row r="533" s="210" customFormat="true" ht="15" hidden="false" customHeight="false" outlineLevel="0" collapsed="false">
      <c r="A533" s="180"/>
      <c r="B533" s="227" t="s">
        <v>135</v>
      </c>
      <c r="C533" s="203" t="n">
        <v>4</v>
      </c>
      <c r="D533" s="199" t="n">
        <v>0.3</v>
      </c>
      <c r="E533" s="200" t="n">
        <v>0.075</v>
      </c>
      <c r="F533" s="200" t="n">
        <v>0.1</v>
      </c>
      <c r="G533" s="192" t="n">
        <f aca="false">C533*((2*((E533*F533)/2))+(D533*E533))</f>
        <v>0.12</v>
      </c>
      <c r="I533" s="211"/>
    </row>
    <row r="534" s="210" customFormat="true" ht="15" hidden="false" customHeight="false" outlineLevel="0" collapsed="false">
      <c r="A534" s="180"/>
      <c r="B534" s="216" t="s">
        <v>162</v>
      </c>
      <c r="C534" s="203" t="n">
        <v>4</v>
      </c>
      <c r="D534" s="199" t="n">
        <v>0.3</v>
      </c>
      <c r="E534" s="200" t="n">
        <v>0.075</v>
      </c>
      <c r="F534" s="200" t="n">
        <v>0.1</v>
      </c>
      <c r="G534" s="192" t="n">
        <f aca="false">C534*((2*((E534*F534)/2))+(D534*E534))</f>
        <v>0.12</v>
      </c>
      <c r="I534" s="211"/>
    </row>
    <row r="535" s="210" customFormat="true" ht="15" hidden="false" customHeight="true" outlineLevel="0" collapsed="false">
      <c r="A535" s="180"/>
      <c r="B535" s="250" t="s">
        <v>189</v>
      </c>
      <c r="C535" s="250"/>
      <c r="D535" s="250"/>
      <c r="E535" s="250"/>
      <c r="F535" s="250"/>
      <c r="G535" s="194" t="n">
        <f aca="false">SUM(G498:G534)</f>
        <v>176.7811</v>
      </c>
      <c r="I535" s="211"/>
    </row>
    <row r="536" s="210" customFormat="true" ht="15" hidden="false" customHeight="false" outlineLevel="0" collapsed="false">
      <c r="A536" s="180"/>
      <c r="B536" s="285"/>
      <c r="C536" s="209"/>
      <c r="D536" s="209"/>
      <c r="E536" s="209"/>
    </row>
    <row r="537" s="210" customFormat="true" ht="15" hidden="false" customHeight="false" outlineLevel="0" collapsed="false">
      <c r="A537" s="182" t="s">
        <v>52</v>
      </c>
      <c r="B537" s="286" t="str">
        <f aca="false">'Composições '!C210</f>
        <v>Lançamento manual de concreto com o uso de baldes em estruturas, inclusive acabamantos</v>
      </c>
      <c r="C537" s="209"/>
      <c r="D537" s="287"/>
      <c r="E537" s="209"/>
      <c r="F537" s="209"/>
      <c r="G537" s="211"/>
    </row>
    <row r="538" s="210" customFormat="true" ht="15.75" hidden="false" customHeight="false" outlineLevel="0" collapsed="false">
      <c r="A538" s="182"/>
      <c r="B538" s="285"/>
      <c r="C538" s="209"/>
      <c r="D538" s="209"/>
      <c r="E538" s="209"/>
      <c r="F538" s="209"/>
      <c r="G538" s="211"/>
    </row>
    <row r="539" s="210" customFormat="true" ht="15" hidden="false" customHeight="false" outlineLevel="0" collapsed="false">
      <c r="A539" s="180"/>
      <c r="B539" s="185" t="s">
        <v>91</v>
      </c>
      <c r="C539" s="186" t="s">
        <v>109</v>
      </c>
      <c r="D539" s="186" t="s">
        <v>94</v>
      </c>
      <c r="E539" s="187" t="s">
        <v>110</v>
      </c>
      <c r="F539" s="187" t="s">
        <v>233</v>
      </c>
      <c r="G539" s="188" t="s">
        <v>139</v>
      </c>
    </row>
    <row r="540" s="210" customFormat="true" ht="15" hidden="false" customHeight="false" outlineLevel="0" collapsed="false">
      <c r="A540" s="180"/>
      <c r="B540" s="228" t="s">
        <v>145</v>
      </c>
      <c r="C540" s="228"/>
      <c r="D540" s="228"/>
      <c r="E540" s="228"/>
      <c r="F540" s="228"/>
      <c r="G540" s="228"/>
    </row>
    <row r="541" s="210" customFormat="true" ht="15" hidden="false" customHeight="false" outlineLevel="0" collapsed="false">
      <c r="A541" s="180"/>
      <c r="B541" s="216" t="s">
        <v>153</v>
      </c>
      <c r="C541" s="199" t="n">
        <v>8</v>
      </c>
      <c r="D541" s="199" t="n">
        <v>5.73</v>
      </c>
      <c r="E541" s="200" t="n">
        <v>0.1</v>
      </c>
      <c r="F541" s="230" t="n">
        <v>0.05</v>
      </c>
      <c r="G541" s="192" t="n">
        <f aca="false">C541*D541*E541*F541</f>
        <v>0.2292</v>
      </c>
    </row>
    <row r="542" s="210" customFormat="true" ht="15" hidden="false" customHeight="false" outlineLevel="0" collapsed="false">
      <c r="A542" s="180"/>
      <c r="B542" s="216"/>
      <c r="C542" s="199" t="n">
        <v>1</v>
      </c>
      <c r="D542" s="199" t="n">
        <v>5.73</v>
      </c>
      <c r="E542" s="200" t="n">
        <v>0.18</v>
      </c>
      <c r="F542" s="230" t="n">
        <v>0.05</v>
      </c>
      <c r="G542" s="192" t="n">
        <f aca="false">C542*D542*E542*F542</f>
        <v>0.05157</v>
      </c>
    </row>
    <row r="543" s="210" customFormat="true" ht="15" hidden="false" customHeight="false" outlineLevel="0" collapsed="false">
      <c r="A543" s="180"/>
      <c r="B543" s="216"/>
      <c r="C543" s="199" t="n">
        <f aca="false">9*9</f>
        <v>81</v>
      </c>
      <c r="D543" s="199" t="n">
        <v>0.5</v>
      </c>
      <c r="E543" s="200" t="n">
        <v>0.1</v>
      </c>
      <c r="F543" s="230" t="n">
        <v>0.055</v>
      </c>
      <c r="G543" s="192" t="n">
        <f aca="false">C543*D543*E543*F543</f>
        <v>0.22275</v>
      </c>
    </row>
    <row r="544" s="210" customFormat="true" ht="15" hidden="false" customHeight="false" outlineLevel="0" collapsed="false">
      <c r="A544" s="180"/>
      <c r="B544" s="216" t="s">
        <v>154</v>
      </c>
      <c r="C544" s="199" t="n">
        <v>8</v>
      </c>
      <c r="D544" s="199" t="n">
        <v>5.73</v>
      </c>
      <c r="E544" s="200" t="n">
        <v>0.1</v>
      </c>
      <c r="F544" s="230" t="n">
        <v>0.05</v>
      </c>
      <c r="G544" s="192" t="n">
        <f aca="false">C544*D544*E544*F544</f>
        <v>0.2292</v>
      </c>
    </row>
    <row r="545" s="210" customFormat="true" ht="15" hidden="false" customHeight="false" outlineLevel="0" collapsed="false">
      <c r="A545" s="180"/>
      <c r="B545" s="216"/>
      <c r="C545" s="199" t="n">
        <v>1</v>
      </c>
      <c r="D545" s="199" t="n">
        <v>5.73</v>
      </c>
      <c r="E545" s="200" t="n">
        <v>0.16</v>
      </c>
      <c r="F545" s="230" t="n">
        <v>0.05</v>
      </c>
      <c r="G545" s="192" t="n">
        <f aca="false">C545*D545*E545*F545</f>
        <v>0.04584</v>
      </c>
    </row>
    <row r="546" s="210" customFormat="true" ht="15" hidden="false" customHeight="false" outlineLevel="0" collapsed="false">
      <c r="A546" s="180"/>
      <c r="B546" s="216"/>
      <c r="C546" s="199" t="n">
        <f aca="false">9*9</f>
        <v>81</v>
      </c>
      <c r="D546" s="199" t="n">
        <v>0.5</v>
      </c>
      <c r="E546" s="200" t="n">
        <v>0.1</v>
      </c>
      <c r="F546" s="230" t="n">
        <v>0.055</v>
      </c>
      <c r="G546" s="192" t="n">
        <f aca="false">C546*D546*E546*F546</f>
        <v>0.22275</v>
      </c>
    </row>
    <row r="547" s="210" customFormat="true" ht="15" hidden="false" customHeight="false" outlineLevel="0" collapsed="false">
      <c r="A547" s="180"/>
      <c r="B547" s="216" t="s">
        <v>155</v>
      </c>
      <c r="C547" s="199" t="n">
        <v>9</v>
      </c>
      <c r="D547" s="199" t="n">
        <v>5.73</v>
      </c>
      <c r="E547" s="200" t="n">
        <v>0.1</v>
      </c>
      <c r="F547" s="230" t="n">
        <v>0.05</v>
      </c>
      <c r="G547" s="192" t="n">
        <f aca="false">C547*D547*E547*F547</f>
        <v>0.25785</v>
      </c>
    </row>
    <row r="548" s="210" customFormat="true" ht="15" hidden="false" customHeight="false" outlineLevel="0" collapsed="false">
      <c r="A548" s="180"/>
      <c r="B548" s="216"/>
      <c r="C548" s="199" t="n">
        <f aca="false">8*9</f>
        <v>72</v>
      </c>
      <c r="D548" s="199" t="n">
        <v>0.5</v>
      </c>
      <c r="E548" s="200" t="n">
        <v>0.1</v>
      </c>
      <c r="F548" s="230" t="n">
        <v>0.055</v>
      </c>
      <c r="G548" s="192" t="n">
        <f aca="false">C548*D548*E548*F548</f>
        <v>0.198</v>
      </c>
    </row>
    <row r="549" s="210" customFormat="true" ht="15" hidden="false" customHeight="false" outlineLevel="0" collapsed="false">
      <c r="A549" s="180"/>
      <c r="B549" s="216"/>
      <c r="C549" s="199" t="n">
        <f aca="false">2*9</f>
        <v>18</v>
      </c>
      <c r="D549" s="199" t="n">
        <v>0.48</v>
      </c>
      <c r="E549" s="200" t="n">
        <v>0.1</v>
      </c>
      <c r="F549" s="230" t="n">
        <v>0.055</v>
      </c>
      <c r="G549" s="192" t="n">
        <f aca="false">C549*D549*E549*F549</f>
        <v>0.04752</v>
      </c>
    </row>
    <row r="550" s="210" customFormat="true" ht="15" hidden="false" customHeight="false" outlineLevel="0" collapsed="false">
      <c r="A550" s="180"/>
      <c r="B550" s="216" t="s">
        <v>156</v>
      </c>
      <c r="C550" s="199" t="n">
        <v>8</v>
      </c>
      <c r="D550" s="199" t="n">
        <v>5.48</v>
      </c>
      <c r="E550" s="200" t="n">
        <v>0.1</v>
      </c>
      <c r="F550" s="230" t="n">
        <v>0.05</v>
      </c>
      <c r="G550" s="192" t="n">
        <f aca="false">C550*D550*E550*F550</f>
        <v>0.2192</v>
      </c>
    </row>
    <row r="551" s="210" customFormat="true" ht="15" hidden="false" customHeight="false" outlineLevel="0" collapsed="false">
      <c r="A551" s="180"/>
      <c r="B551" s="216"/>
      <c r="C551" s="199" t="n">
        <v>1</v>
      </c>
      <c r="D551" s="199" t="n">
        <v>5.48</v>
      </c>
      <c r="E551" s="200" t="n">
        <v>0.18</v>
      </c>
      <c r="F551" s="230" t="n">
        <v>0.05</v>
      </c>
      <c r="G551" s="192" t="n">
        <f aca="false">C551*D551*E551*F551</f>
        <v>0.04932</v>
      </c>
    </row>
    <row r="552" s="210" customFormat="true" ht="15" hidden="false" customHeight="false" outlineLevel="0" collapsed="false">
      <c r="A552" s="180"/>
      <c r="B552" s="216"/>
      <c r="C552" s="199" t="n">
        <f aca="false">8*9</f>
        <v>72</v>
      </c>
      <c r="D552" s="199" t="n">
        <v>0.5</v>
      </c>
      <c r="E552" s="200" t="n">
        <v>0.1</v>
      </c>
      <c r="F552" s="230" t="n">
        <v>0.055</v>
      </c>
      <c r="G552" s="192" t="n">
        <f aca="false">C552*D552*E552*F552</f>
        <v>0.198</v>
      </c>
    </row>
    <row r="553" s="210" customFormat="true" ht="15" hidden="false" customHeight="false" outlineLevel="0" collapsed="false">
      <c r="A553" s="180"/>
      <c r="B553" s="216"/>
      <c r="C553" s="199" t="n">
        <f aca="false">1*9</f>
        <v>9</v>
      </c>
      <c r="D553" s="199" t="n">
        <v>0.5</v>
      </c>
      <c r="E553" s="200" t="n">
        <v>0.18</v>
      </c>
      <c r="F553" s="230" t="n">
        <v>0.055</v>
      </c>
      <c r="G553" s="192" t="n">
        <f aca="false">C553*D553*E553*F553</f>
        <v>0.04455</v>
      </c>
    </row>
    <row r="554" s="210" customFormat="true" ht="15" hidden="false" customHeight="false" outlineLevel="0" collapsed="false">
      <c r="A554" s="180"/>
      <c r="B554" s="216" t="s">
        <v>157</v>
      </c>
      <c r="C554" s="203" t="n">
        <v>8</v>
      </c>
      <c r="D554" s="203" t="n">
        <v>5.48</v>
      </c>
      <c r="E554" s="191" t="n">
        <v>0.1</v>
      </c>
      <c r="F554" s="232" t="n">
        <v>0.05</v>
      </c>
      <c r="G554" s="192" t="n">
        <f aca="false">C554*D554*E554*F554</f>
        <v>0.2192</v>
      </c>
    </row>
    <row r="555" s="210" customFormat="true" ht="15" hidden="false" customHeight="false" outlineLevel="0" collapsed="false">
      <c r="A555" s="180"/>
      <c r="B555" s="216"/>
      <c r="C555" s="203" t="n">
        <v>1</v>
      </c>
      <c r="D555" s="203" t="n">
        <v>5.48</v>
      </c>
      <c r="E555" s="191" t="n">
        <v>0.16</v>
      </c>
      <c r="F555" s="288" t="n">
        <v>0.05</v>
      </c>
      <c r="G555" s="192" t="n">
        <f aca="false">C555*D555*E555*F555</f>
        <v>0.04384</v>
      </c>
    </row>
    <row r="556" s="210" customFormat="true" ht="15" hidden="false" customHeight="false" outlineLevel="0" collapsed="false">
      <c r="A556" s="180"/>
      <c r="B556" s="216"/>
      <c r="C556" s="203" t="n">
        <f aca="false">8*9</f>
        <v>72</v>
      </c>
      <c r="D556" s="203" t="n">
        <v>0.5</v>
      </c>
      <c r="E556" s="191" t="n">
        <v>0.1</v>
      </c>
      <c r="F556" s="288" t="n">
        <v>0.055</v>
      </c>
      <c r="G556" s="192" t="n">
        <f aca="false">C556*D556*E556*F556</f>
        <v>0.198</v>
      </c>
    </row>
    <row r="557" s="210" customFormat="true" ht="15" hidden="false" customHeight="false" outlineLevel="0" collapsed="false">
      <c r="A557" s="180"/>
      <c r="B557" s="216"/>
      <c r="C557" s="203" t="n">
        <f aca="false">1*9</f>
        <v>9</v>
      </c>
      <c r="D557" s="203" t="n">
        <v>0.5</v>
      </c>
      <c r="E557" s="191" t="n">
        <v>0.18</v>
      </c>
      <c r="F557" s="288" t="n">
        <v>0.055</v>
      </c>
      <c r="G557" s="192" t="n">
        <f aca="false">C557*D557*E557*F557</f>
        <v>0.04455</v>
      </c>
    </row>
    <row r="558" s="210" customFormat="true" ht="15" hidden="false" customHeight="false" outlineLevel="0" collapsed="false">
      <c r="A558" s="180"/>
      <c r="B558" s="216" t="s">
        <v>158</v>
      </c>
      <c r="C558" s="203" t="n">
        <v>9</v>
      </c>
      <c r="D558" s="203" t="n">
        <v>5.48</v>
      </c>
      <c r="E558" s="191" t="n">
        <v>0.1</v>
      </c>
      <c r="F558" s="288" t="n">
        <v>0.05</v>
      </c>
      <c r="G558" s="192" t="n">
        <f aca="false">C558*D558*E558*F558</f>
        <v>0.2466</v>
      </c>
    </row>
    <row r="559" s="210" customFormat="true" ht="15" hidden="false" customHeight="false" outlineLevel="0" collapsed="false">
      <c r="A559" s="180"/>
      <c r="B559" s="216"/>
      <c r="C559" s="203" t="n">
        <f aca="false">8*8</f>
        <v>64</v>
      </c>
      <c r="D559" s="203" t="n">
        <v>0.5</v>
      </c>
      <c r="E559" s="191" t="n">
        <v>0.1</v>
      </c>
      <c r="F559" s="288" t="n">
        <v>0.055</v>
      </c>
      <c r="G559" s="192" t="n">
        <f aca="false">C559*D559*E559*F559</f>
        <v>0.176</v>
      </c>
    </row>
    <row r="560" s="210" customFormat="true" ht="15" hidden="false" customHeight="false" outlineLevel="0" collapsed="false">
      <c r="A560" s="180"/>
      <c r="B560" s="216"/>
      <c r="C560" s="203" t="n">
        <f aca="false">2*8</f>
        <v>16</v>
      </c>
      <c r="D560" s="203" t="n">
        <v>0.48</v>
      </c>
      <c r="E560" s="191" t="n">
        <v>0.1</v>
      </c>
      <c r="F560" s="288" t="n">
        <v>0.055</v>
      </c>
      <c r="G560" s="192" t="n">
        <f aca="false">C560*D560*E560*F560</f>
        <v>0.04224</v>
      </c>
    </row>
    <row r="561" s="210" customFormat="true" ht="15" hidden="false" customHeight="false" outlineLevel="0" collapsed="false">
      <c r="A561" s="180"/>
      <c r="B561" s="216"/>
      <c r="C561" s="203" t="n">
        <v>8</v>
      </c>
      <c r="D561" s="203" t="n">
        <v>0.5</v>
      </c>
      <c r="E561" s="191" t="n">
        <v>0.18</v>
      </c>
      <c r="F561" s="232" t="n">
        <v>0.055</v>
      </c>
      <c r="G561" s="192" t="n">
        <f aca="false">C561*D561*E561*F561</f>
        <v>0.0396</v>
      </c>
    </row>
    <row r="562" s="210" customFormat="true" ht="15" hidden="false" customHeight="false" outlineLevel="0" collapsed="false">
      <c r="A562" s="180"/>
      <c r="B562" s="216"/>
      <c r="C562" s="203" t="n">
        <v>2</v>
      </c>
      <c r="D562" s="203" t="n">
        <v>0.48</v>
      </c>
      <c r="E562" s="191" t="n">
        <v>0.18</v>
      </c>
      <c r="F562" s="289" t="n">
        <v>0.055</v>
      </c>
      <c r="G562" s="192" t="n">
        <f aca="false">C562*D562*E562*F562</f>
        <v>0.009504</v>
      </c>
    </row>
    <row r="563" s="210" customFormat="true" ht="15" hidden="false" customHeight="false" outlineLevel="0" collapsed="false">
      <c r="A563" s="180"/>
      <c r="B563" s="216" t="s">
        <v>159</v>
      </c>
      <c r="C563" s="203" t="n">
        <v>4</v>
      </c>
      <c r="D563" s="203" t="n">
        <v>6.5</v>
      </c>
      <c r="E563" s="191" t="n">
        <v>0.1</v>
      </c>
      <c r="F563" s="289" t="n">
        <v>0.05</v>
      </c>
      <c r="G563" s="192" t="n">
        <f aca="false">C563*D563*E563*F563</f>
        <v>0.13</v>
      </c>
    </row>
    <row r="564" s="210" customFormat="true" ht="15" hidden="false" customHeight="false" outlineLevel="0" collapsed="false">
      <c r="A564" s="180"/>
      <c r="B564" s="216"/>
      <c r="C564" s="203" t="n">
        <f aca="false">5*10</f>
        <v>50</v>
      </c>
      <c r="D564" s="203" t="n">
        <v>0.5</v>
      </c>
      <c r="E564" s="191" t="n">
        <v>0.1</v>
      </c>
      <c r="F564" s="289" t="n">
        <v>0.055</v>
      </c>
      <c r="G564" s="192" t="n">
        <f aca="false">C564*D564*E564*F564</f>
        <v>0.1375</v>
      </c>
    </row>
    <row r="565" s="210" customFormat="true" ht="15" hidden="false" customHeight="false" outlineLevel="0" collapsed="false">
      <c r="A565" s="180"/>
      <c r="B565" s="216" t="s">
        <v>160</v>
      </c>
      <c r="C565" s="203" t="n">
        <v>2</v>
      </c>
      <c r="D565" s="203" t="n">
        <v>1.5</v>
      </c>
      <c r="E565" s="191" t="n">
        <v>0.1</v>
      </c>
      <c r="F565" s="232" t="n">
        <v>0.05</v>
      </c>
      <c r="G565" s="192" t="n">
        <f aca="false">C565*D565*E565*F565</f>
        <v>0.015</v>
      </c>
    </row>
    <row r="566" s="210" customFormat="true" ht="15" hidden="false" customHeight="false" outlineLevel="0" collapsed="false">
      <c r="A566" s="180"/>
      <c r="B566" s="216"/>
      <c r="C566" s="203" t="n">
        <f aca="false">2*2</f>
        <v>4</v>
      </c>
      <c r="D566" s="203" t="n">
        <v>0.5</v>
      </c>
      <c r="E566" s="191" t="n">
        <v>0.1</v>
      </c>
      <c r="F566" s="288" t="n">
        <v>0.055</v>
      </c>
      <c r="G566" s="192" t="n">
        <f aca="false">C566*D566*E566*F566</f>
        <v>0.011</v>
      </c>
    </row>
    <row r="567" s="210" customFormat="true" ht="15" hidden="false" customHeight="false" outlineLevel="0" collapsed="false">
      <c r="A567" s="180"/>
      <c r="B567" s="216"/>
      <c r="C567" s="203" t="n">
        <f aca="false">1*2</f>
        <v>2</v>
      </c>
      <c r="D567" s="203" t="n">
        <v>0.3</v>
      </c>
      <c r="E567" s="191" t="n">
        <v>0.1</v>
      </c>
      <c r="F567" s="232" t="n">
        <v>0.055</v>
      </c>
      <c r="G567" s="192" t="n">
        <f aca="false">C567*D567*E567*F567</f>
        <v>0.0033</v>
      </c>
    </row>
    <row r="568" s="210" customFormat="true" ht="15" hidden="false" customHeight="false" outlineLevel="0" collapsed="false">
      <c r="A568" s="180"/>
      <c r="B568" s="228" t="s">
        <v>161</v>
      </c>
      <c r="C568" s="228"/>
      <c r="D568" s="228"/>
      <c r="E568" s="228"/>
      <c r="F568" s="228"/>
      <c r="G568" s="228"/>
    </row>
    <row r="569" s="210" customFormat="true" ht="15" hidden="false" customHeight="false" outlineLevel="0" collapsed="false">
      <c r="A569" s="180"/>
      <c r="B569" s="227" t="s">
        <v>134</v>
      </c>
      <c r="C569" s="203"/>
      <c r="D569" s="199" t="n">
        <v>5.43</v>
      </c>
      <c r="E569" s="212"/>
      <c r="F569" s="230" t="n">
        <v>0.065</v>
      </c>
      <c r="G569" s="192" t="n">
        <f aca="false">D569*F569</f>
        <v>0.35295</v>
      </c>
    </row>
    <row r="570" s="210" customFormat="true" ht="15" hidden="false" customHeight="false" outlineLevel="0" collapsed="false">
      <c r="A570" s="180"/>
      <c r="B570" s="227" t="s">
        <v>135</v>
      </c>
      <c r="C570" s="203"/>
      <c r="D570" s="203" t="n">
        <v>5.28</v>
      </c>
      <c r="E570" s="212"/>
      <c r="F570" s="230" t="n">
        <v>0.065</v>
      </c>
      <c r="G570" s="192" t="n">
        <f aca="false">D570*F570</f>
        <v>0.3432</v>
      </c>
    </row>
    <row r="571" s="210" customFormat="true" ht="15" hidden="false" customHeight="false" outlineLevel="0" collapsed="false">
      <c r="A571" s="180"/>
      <c r="B571" s="216" t="s">
        <v>162</v>
      </c>
      <c r="C571" s="203"/>
      <c r="D571" s="203" t="n">
        <v>5.66</v>
      </c>
      <c r="E571" s="212"/>
      <c r="F571" s="230" t="n">
        <v>0.065</v>
      </c>
      <c r="G571" s="192" t="n">
        <f aca="false">D571*F571</f>
        <v>0.3679</v>
      </c>
    </row>
    <row r="572" s="210" customFormat="true" ht="15" hidden="false" customHeight="false" outlineLevel="0" collapsed="false">
      <c r="A572" s="180"/>
      <c r="B572" s="228" t="s">
        <v>234</v>
      </c>
      <c r="C572" s="228"/>
      <c r="D572" s="228"/>
      <c r="E572" s="228"/>
      <c r="F572" s="228"/>
      <c r="G572" s="228"/>
    </row>
    <row r="573" s="210" customFormat="true" ht="15" hidden="false" customHeight="false" outlineLevel="0" collapsed="false">
      <c r="A573" s="180"/>
      <c r="B573" s="227" t="s">
        <v>235</v>
      </c>
      <c r="C573" s="203" t="n">
        <v>3</v>
      </c>
      <c r="D573" s="203" t="n">
        <f aca="false">0.5*0.5</f>
        <v>0.25</v>
      </c>
      <c r="E573" s="212"/>
      <c r="F573" s="205" t="n">
        <v>0.02</v>
      </c>
      <c r="G573" s="290" t="n">
        <f aca="false">C573*D573*F573</f>
        <v>0.015</v>
      </c>
    </row>
    <row r="574" s="210" customFormat="true" ht="15" hidden="false" customHeight="false" outlineLevel="0" collapsed="false">
      <c r="A574" s="180"/>
      <c r="B574" s="216" t="s">
        <v>236</v>
      </c>
      <c r="C574" s="203" t="n">
        <v>11</v>
      </c>
      <c r="D574" s="203" t="n">
        <f aca="false">0.1*0.1</f>
        <v>0.01</v>
      </c>
      <c r="E574" s="212"/>
      <c r="F574" s="205" t="n">
        <v>0.02</v>
      </c>
      <c r="G574" s="290" t="n">
        <f aca="false">C574*D574*F574</f>
        <v>0.0022</v>
      </c>
    </row>
    <row r="575" s="210" customFormat="true" ht="15.75" hidden="false" customHeight="false" outlineLevel="0" collapsed="false">
      <c r="A575" s="180"/>
      <c r="B575" s="193" t="s">
        <v>140</v>
      </c>
      <c r="C575" s="193"/>
      <c r="D575" s="193"/>
      <c r="E575" s="193"/>
      <c r="F575" s="193"/>
      <c r="G575" s="194" t="n">
        <f aca="false">SUM(G540:G574)</f>
        <v>4.413334</v>
      </c>
    </row>
    <row r="576" s="210" customFormat="true" ht="15" hidden="false" customHeight="false" outlineLevel="0" collapsed="false">
      <c r="A576" s="180"/>
      <c r="B576" s="291"/>
    </row>
    <row r="577" s="210" customFormat="true" ht="15" hidden="false" customHeight="false" outlineLevel="0" collapsed="false">
      <c r="A577" s="182" t="s">
        <v>53</v>
      </c>
      <c r="B577" s="183" t="str">
        <f aca="false">'Composições '!C219</f>
        <v>Microconcreto autoadensável para reparos e grouteamento</v>
      </c>
    </row>
    <row r="578" s="210" customFormat="true" ht="15.75" hidden="false" customHeight="false" outlineLevel="0" collapsed="false">
      <c r="A578" s="182"/>
      <c r="B578" s="221"/>
    </row>
    <row r="579" s="210" customFormat="true" ht="15" hidden="false" customHeight="false" outlineLevel="0" collapsed="false">
      <c r="A579" s="180"/>
      <c r="B579" s="185" t="s">
        <v>91</v>
      </c>
      <c r="C579" s="186" t="s">
        <v>109</v>
      </c>
      <c r="D579" s="186" t="s">
        <v>94</v>
      </c>
      <c r="E579" s="187" t="s">
        <v>110</v>
      </c>
      <c r="F579" s="187" t="s">
        <v>233</v>
      </c>
      <c r="G579" s="188" t="s">
        <v>139</v>
      </c>
      <c r="I579" s="211"/>
    </row>
    <row r="580" s="229" customFormat="true" ht="15" hidden="false" customHeight="false" outlineLevel="0" collapsed="false">
      <c r="A580" s="180"/>
      <c r="B580" s="228" t="s">
        <v>145</v>
      </c>
      <c r="C580" s="228"/>
      <c r="D580" s="228"/>
      <c r="E580" s="228"/>
      <c r="F580" s="228"/>
      <c r="G580" s="228"/>
      <c r="H580" s="210"/>
    </row>
    <row r="581" s="210" customFormat="true" ht="15" hidden="false" customHeight="false" outlineLevel="0" collapsed="false">
      <c r="A581" s="180"/>
      <c r="B581" s="216" t="s">
        <v>153</v>
      </c>
      <c r="C581" s="199" t="n">
        <v>8</v>
      </c>
      <c r="D581" s="199" t="n">
        <v>5.73</v>
      </c>
      <c r="E581" s="200" t="n">
        <v>0.1</v>
      </c>
      <c r="F581" s="230" t="n">
        <v>0.05</v>
      </c>
      <c r="G581" s="192" t="n">
        <f aca="false">C581*D581*E581*F581</f>
        <v>0.2292</v>
      </c>
      <c r="H581" s="172"/>
      <c r="I581" s="172"/>
    </row>
    <row r="582" s="210" customFormat="true" ht="15" hidden="false" customHeight="false" outlineLevel="0" collapsed="false">
      <c r="A582" s="180"/>
      <c r="B582" s="216"/>
      <c r="C582" s="199" t="n">
        <v>1</v>
      </c>
      <c r="D582" s="199" t="n">
        <v>5.73</v>
      </c>
      <c r="E582" s="200" t="n">
        <v>0.18</v>
      </c>
      <c r="F582" s="230" t="n">
        <v>0.05</v>
      </c>
      <c r="G582" s="192" t="n">
        <f aca="false">C582*D582*E582*F582</f>
        <v>0.05157</v>
      </c>
      <c r="H582" s="172"/>
      <c r="I582" s="172"/>
    </row>
    <row r="583" s="210" customFormat="true" ht="15" hidden="false" customHeight="false" outlineLevel="0" collapsed="false">
      <c r="A583" s="180"/>
      <c r="B583" s="216"/>
      <c r="C583" s="199" t="n">
        <f aca="false">9*9</f>
        <v>81</v>
      </c>
      <c r="D583" s="199" t="n">
        <v>0.5</v>
      </c>
      <c r="E583" s="200" t="n">
        <v>0.1</v>
      </c>
      <c r="F583" s="230" t="n">
        <v>0.055</v>
      </c>
      <c r="G583" s="192" t="n">
        <f aca="false">C583*D583*E583*F583</f>
        <v>0.22275</v>
      </c>
      <c r="H583" s="172"/>
      <c r="I583" s="172"/>
    </row>
    <row r="584" s="210" customFormat="true" ht="15" hidden="false" customHeight="false" outlineLevel="0" collapsed="false">
      <c r="A584" s="180"/>
      <c r="B584" s="216" t="s">
        <v>154</v>
      </c>
      <c r="C584" s="199" t="n">
        <v>8</v>
      </c>
      <c r="D584" s="199" t="n">
        <v>5.73</v>
      </c>
      <c r="E584" s="200" t="n">
        <v>0.1</v>
      </c>
      <c r="F584" s="230" t="n">
        <v>0.05</v>
      </c>
      <c r="G584" s="192" t="n">
        <f aca="false">C584*D584*E584*F584</f>
        <v>0.2292</v>
      </c>
      <c r="H584" s="172"/>
      <c r="I584" s="172"/>
    </row>
    <row r="585" s="210" customFormat="true" ht="15" hidden="false" customHeight="false" outlineLevel="0" collapsed="false">
      <c r="A585" s="180"/>
      <c r="B585" s="216"/>
      <c r="C585" s="199" t="n">
        <v>1</v>
      </c>
      <c r="D585" s="199" t="n">
        <v>5.73</v>
      </c>
      <c r="E585" s="200" t="n">
        <v>0.16</v>
      </c>
      <c r="F585" s="230" t="n">
        <v>0.05</v>
      </c>
      <c r="G585" s="192" t="n">
        <f aca="false">C585*D585*E585*F585</f>
        <v>0.04584</v>
      </c>
      <c r="H585" s="172"/>
      <c r="I585" s="172"/>
    </row>
    <row r="586" s="210" customFormat="true" ht="15" hidden="false" customHeight="false" outlineLevel="0" collapsed="false">
      <c r="A586" s="180"/>
      <c r="B586" s="216"/>
      <c r="C586" s="199" t="n">
        <f aca="false">9*9</f>
        <v>81</v>
      </c>
      <c r="D586" s="199" t="n">
        <v>0.5</v>
      </c>
      <c r="E586" s="200" t="n">
        <v>0.1</v>
      </c>
      <c r="F586" s="230" t="n">
        <v>0.055</v>
      </c>
      <c r="G586" s="192" t="n">
        <f aca="false">C586*D586*E586*F586</f>
        <v>0.22275</v>
      </c>
      <c r="H586" s="172"/>
      <c r="I586" s="172"/>
    </row>
    <row r="587" s="210" customFormat="true" ht="15" hidden="false" customHeight="false" outlineLevel="0" collapsed="false">
      <c r="A587" s="180"/>
      <c r="B587" s="216" t="s">
        <v>155</v>
      </c>
      <c r="C587" s="199" t="n">
        <v>9</v>
      </c>
      <c r="D587" s="199" t="n">
        <v>5.73</v>
      </c>
      <c r="E587" s="200" t="n">
        <v>0.1</v>
      </c>
      <c r="F587" s="230" t="n">
        <v>0.05</v>
      </c>
      <c r="G587" s="192" t="n">
        <f aca="false">C587*D587*E587*F587</f>
        <v>0.25785</v>
      </c>
      <c r="H587" s="226"/>
      <c r="I587" s="211"/>
    </row>
    <row r="588" s="210" customFormat="true" ht="15" hidden="false" customHeight="false" outlineLevel="0" collapsed="false">
      <c r="A588" s="180"/>
      <c r="B588" s="216"/>
      <c r="C588" s="199" t="n">
        <f aca="false">8*9</f>
        <v>72</v>
      </c>
      <c r="D588" s="199" t="n">
        <v>0.5</v>
      </c>
      <c r="E588" s="200" t="n">
        <v>0.1</v>
      </c>
      <c r="F588" s="230" t="n">
        <v>0.055</v>
      </c>
      <c r="G588" s="192" t="n">
        <f aca="false">C588*D588*E588*F588</f>
        <v>0.198</v>
      </c>
      <c r="H588" s="226"/>
      <c r="I588" s="211"/>
    </row>
    <row r="589" s="210" customFormat="true" ht="15" hidden="false" customHeight="false" outlineLevel="0" collapsed="false">
      <c r="A589" s="180"/>
      <c r="B589" s="216"/>
      <c r="C589" s="199" t="n">
        <f aca="false">2*9</f>
        <v>18</v>
      </c>
      <c r="D589" s="199" t="n">
        <v>0.48</v>
      </c>
      <c r="E589" s="200" t="n">
        <v>0.1</v>
      </c>
      <c r="F589" s="230" t="n">
        <v>0.055</v>
      </c>
      <c r="G589" s="192" t="n">
        <f aca="false">C589*D589*E589*F589</f>
        <v>0.04752</v>
      </c>
      <c r="H589" s="226"/>
      <c r="I589" s="211"/>
    </row>
    <row r="590" s="210" customFormat="true" ht="15" hidden="false" customHeight="false" outlineLevel="0" collapsed="false">
      <c r="A590" s="180"/>
      <c r="B590" s="216" t="s">
        <v>156</v>
      </c>
      <c r="C590" s="199" t="n">
        <v>8</v>
      </c>
      <c r="D590" s="199" t="n">
        <v>5.48</v>
      </c>
      <c r="E590" s="200" t="n">
        <v>0.1</v>
      </c>
      <c r="F590" s="230" t="n">
        <v>0.05</v>
      </c>
      <c r="G590" s="192" t="n">
        <f aca="false">C590*D590*E590*F590</f>
        <v>0.2192</v>
      </c>
      <c r="H590" s="226"/>
      <c r="I590" s="211"/>
    </row>
    <row r="591" s="210" customFormat="true" ht="15" hidden="false" customHeight="false" outlineLevel="0" collapsed="false">
      <c r="A591" s="180"/>
      <c r="B591" s="216"/>
      <c r="C591" s="199" t="n">
        <v>1</v>
      </c>
      <c r="D591" s="199" t="n">
        <v>5.48</v>
      </c>
      <c r="E591" s="200" t="n">
        <v>0.18</v>
      </c>
      <c r="F591" s="230" t="n">
        <v>0.05</v>
      </c>
      <c r="G591" s="192" t="n">
        <f aca="false">C591*D591*E591*F591</f>
        <v>0.04932</v>
      </c>
      <c r="H591" s="226"/>
      <c r="I591" s="211"/>
    </row>
    <row r="592" s="210" customFormat="true" ht="15" hidden="false" customHeight="false" outlineLevel="0" collapsed="false">
      <c r="A592" s="180"/>
      <c r="B592" s="216"/>
      <c r="C592" s="199" t="n">
        <f aca="false">8*9</f>
        <v>72</v>
      </c>
      <c r="D592" s="199" t="n">
        <v>0.5</v>
      </c>
      <c r="E592" s="200" t="n">
        <v>0.1</v>
      </c>
      <c r="F592" s="230" t="n">
        <v>0.055</v>
      </c>
      <c r="G592" s="192" t="n">
        <f aca="false">C592*D592*E592*F592</f>
        <v>0.198</v>
      </c>
      <c r="H592" s="226"/>
      <c r="I592" s="211"/>
    </row>
    <row r="593" s="210" customFormat="true" ht="15" hidden="false" customHeight="false" outlineLevel="0" collapsed="false">
      <c r="A593" s="180"/>
      <c r="B593" s="216"/>
      <c r="C593" s="199" t="n">
        <f aca="false">1*9</f>
        <v>9</v>
      </c>
      <c r="D593" s="199" t="n">
        <v>0.5</v>
      </c>
      <c r="E593" s="200" t="n">
        <v>0.18</v>
      </c>
      <c r="F593" s="230" t="n">
        <v>0.055</v>
      </c>
      <c r="G593" s="192" t="n">
        <f aca="false">C593*D593*E593*F593</f>
        <v>0.04455</v>
      </c>
      <c r="H593" s="226"/>
      <c r="I593" s="211"/>
    </row>
    <row r="594" s="210" customFormat="true" ht="15" hidden="false" customHeight="false" outlineLevel="0" collapsed="false">
      <c r="A594" s="180"/>
      <c r="B594" s="216" t="s">
        <v>157</v>
      </c>
      <c r="C594" s="203" t="n">
        <v>8</v>
      </c>
      <c r="D594" s="203" t="n">
        <v>5.48</v>
      </c>
      <c r="E594" s="191" t="n">
        <v>0.1</v>
      </c>
      <c r="F594" s="232" t="n">
        <v>0.05</v>
      </c>
      <c r="G594" s="192" t="n">
        <f aca="false">C594*D594*E594*F594</f>
        <v>0.2192</v>
      </c>
      <c r="H594" s="172"/>
      <c r="I594" s="172"/>
    </row>
    <row r="595" s="210" customFormat="true" ht="15" hidden="false" customHeight="false" outlineLevel="0" collapsed="false">
      <c r="A595" s="180"/>
      <c r="B595" s="216"/>
      <c r="C595" s="203" t="n">
        <v>1</v>
      </c>
      <c r="D595" s="203" t="n">
        <v>5.48</v>
      </c>
      <c r="E595" s="191" t="n">
        <v>0.16</v>
      </c>
      <c r="F595" s="288" t="n">
        <v>0.05</v>
      </c>
      <c r="G595" s="192" t="n">
        <f aca="false">C595*D595*E595*F595</f>
        <v>0.04384</v>
      </c>
      <c r="H595" s="172"/>
      <c r="I595" s="172"/>
    </row>
    <row r="596" s="210" customFormat="true" ht="15" hidden="false" customHeight="false" outlineLevel="0" collapsed="false">
      <c r="A596" s="180"/>
      <c r="B596" s="216"/>
      <c r="C596" s="203" t="n">
        <f aca="false">8*9</f>
        <v>72</v>
      </c>
      <c r="D596" s="203" t="n">
        <v>0.5</v>
      </c>
      <c r="E596" s="191" t="n">
        <v>0.1</v>
      </c>
      <c r="F596" s="288" t="n">
        <v>0.055</v>
      </c>
      <c r="G596" s="192" t="n">
        <f aca="false">C596*D596*E596*F596</f>
        <v>0.198</v>
      </c>
      <c r="H596" s="172"/>
      <c r="I596" s="172"/>
    </row>
    <row r="597" s="210" customFormat="true" ht="15" hidden="false" customHeight="false" outlineLevel="0" collapsed="false">
      <c r="A597" s="180"/>
      <c r="B597" s="216"/>
      <c r="C597" s="203" t="n">
        <f aca="false">1*9</f>
        <v>9</v>
      </c>
      <c r="D597" s="203" t="n">
        <v>0.5</v>
      </c>
      <c r="E597" s="191" t="n">
        <v>0.18</v>
      </c>
      <c r="F597" s="288" t="n">
        <v>0.055</v>
      </c>
      <c r="G597" s="192" t="n">
        <f aca="false">C597*D597*E597*F597</f>
        <v>0.04455</v>
      </c>
      <c r="H597" s="172"/>
      <c r="I597" s="172"/>
    </row>
    <row r="598" s="210" customFormat="true" ht="15" hidden="false" customHeight="false" outlineLevel="0" collapsed="false">
      <c r="A598" s="180"/>
      <c r="B598" s="216" t="s">
        <v>158</v>
      </c>
      <c r="C598" s="203" t="n">
        <v>9</v>
      </c>
      <c r="D598" s="203" t="n">
        <v>5.48</v>
      </c>
      <c r="E598" s="191" t="n">
        <v>0.1</v>
      </c>
      <c r="F598" s="288" t="n">
        <v>0.05</v>
      </c>
      <c r="G598" s="192" t="n">
        <f aca="false">C598*D598*E598*F598</f>
        <v>0.2466</v>
      </c>
      <c r="H598" s="172"/>
      <c r="I598" s="172"/>
    </row>
    <row r="599" s="210" customFormat="true" ht="15" hidden="false" customHeight="false" outlineLevel="0" collapsed="false">
      <c r="A599" s="180"/>
      <c r="B599" s="216"/>
      <c r="C599" s="203" t="n">
        <f aca="false">8*8</f>
        <v>64</v>
      </c>
      <c r="D599" s="203" t="n">
        <v>0.5</v>
      </c>
      <c r="E599" s="191" t="n">
        <v>0.1</v>
      </c>
      <c r="F599" s="288" t="n">
        <v>0.055</v>
      </c>
      <c r="G599" s="192" t="n">
        <f aca="false">C599*D599*E599*F599</f>
        <v>0.176</v>
      </c>
      <c r="H599" s="172"/>
      <c r="I599" s="172"/>
    </row>
    <row r="600" s="210" customFormat="true" ht="15" hidden="false" customHeight="false" outlineLevel="0" collapsed="false">
      <c r="A600" s="180"/>
      <c r="B600" s="216"/>
      <c r="C600" s="203" t="n">
        <f aca="false">2*8</f>
        <v>16</v>
      </c>
      <c r="D600" s="203" t="n">
        <v>0.48</v>
      </c>
      <c r="E600" s="191" t="n">
        <v>0.1</v>
      </c>
      <c r="F600" s="288" t="n">
        <v>0.055</v>
      </c>
      <c r="G600" s="192" t="n">
        <f aca="false">C600*D600*E600*F600</f>
        <v>0.04224</v>
      </c>
      <c r="H600" s="172"/>
      <c r="I600" s="172"/>
    </row>
    <row r="601" s="210" customFormat="true" ht="15" hidden="false" customHeight="false" outlineLevel="0" collapsed="false">
      <c r="A601" s="180"/>
      <c r="B601" s="216"/>
      <c r="C601" s="203" t="n">
        <v>8</v>
      </c>
      <c r="D601" s="203" t="n">
        <v>0.5</v>
      </c>
      <c r="E601" s="191" t="n">
        <v>0.18</v>
      </c>
      <c r="F601" s="232" t="n">
        <v>0.055</v>
      </c>
      <c r="G601" s="192" t="n">
        <f aca="false">C601*D601*E601*F601</f>
        <v>0.0396</v>
      </c>
      <c r="H601" s="172"/>
      <c r="I601" s="172"/>
    </row>
    <row r="602" s="210" customFormat="true" ht="15" hidden="false" customHeight="false" outlineLevel="0" collapsed="false">
      <c r="A602" s="180"/>
      <c r="B602" s="216"/>
      <c r="C602" s="203" t="n">
        <v>2</v>
      </c>
      <c r="D602" s="203" t="n">
        <v>0.48</v>
      </c>
      <c r="E602" s="191" t="n">
        <v>0.18</v>
      </c>
      <c r="F602" s="289" t="n">
        <v>0.055</v>
      </c>
      <c r="G602" s="192" t="n">
        <f aca="false">C602*D602*E602*F602</f>
        <v>0.009504</v>
      </c>
      <c r="H602" s="172"/>
      <c r="I602" s="172"/>
    </row>
    <row r="603" s="210" customFormat="true" ht="15" hidden="false" customHeight="false" outlineLevel="0" collapsed="false">
      <c r="A603" s="180"/>
      <c r="B603" s="216" t="s">
        <v>159</v>
      </c>
      <c r="C603" s="203" t="n">
        <v>4</v>
      </c>
      <c r="D603" s="203" t="n">
        <v>6.5</v>
      </c>
      <c r="E603" s="191" t="n">
        <v>0.1</v>
      </c>
      <c r="F603" s="289" t="n">
        <v>0.05</v>
      </c>
      <c r="G603" s="192" t="n">
        <f aca="false">C603*D603*E603*F603</f>
        <v>0.13</v>
      </c>
      <c r="H603" s="172"/>
      <c r="I603" s="172"/>
    </row>
    <row r="604" s="210" customFormat="true" ht="15" hidden="false" customHeight="false" outlineLevel="0" collapsed="false">
      <c r="A604" s="180"/>
      <c r="B604" s="216"/>
      <c r="C604" s="203" t="n">
        <f aca="false">5*10</f>
        <v>50</v>
      </c>
      <c r="D604" s="203" t="n">
        <v>0.5</v>
      </c>
      <c r="E604" s="191" t="n">
        <v>0.1</v>
      </c>
      <c r="F604" s="289" t="n">
        <v>0.055</v>
      </c>
      <c r="G604" s="192" t="n">
        <f aca="false">C604*D604*E604*F604</f>
        <v>0.1375</v>
      </c>
      <c r="H604" s="172"/>
      <c r="I604" s="172"/>
    </row>
    <row r="605" s="210" customFormat="true" ht="14.25" hidden="false" customHeight="true" outlineLevel="0" collapsed="false">
      <c r="A605" s="180"/>
      <c r="B605" s="216" t="s">
        <v>160</v>
      </c>
      <c r="C605" s="203" t="n">
        <v>2</v>
      </c>
      <c r="D605" s="203" t="n">
        <v>1.5</v>
      </c>
      <c r="E605" s="191" t="n">
        <v>0.1</v>
      </c>
      <c r="F605" s="232" t="n">
        <v>0.05</v>
      </c>
      <c r="G605" s="192" t="n">
        <f aca="false">C605*D605*E605*F605</f>
        <v>0.015</v>
      </c>
      <c r="H605" s="172"/>
      <c r="I605" s="172"/>
    </row>
    <row r="606" s="210" customFormat="true" ht="15" hidden="false" customHeight="false" outlineLevel="0" collapsed="false">
      <c r="A606" s="180"/>
      <c r="B606" s="216"/>
      <c r="C606" s="203" t="n">
        <f aca="false">2*2</f>
        <v>4</v>
      </c>
      <c r="D606" s="203" t="n">
        <v>0.5</v>
      </c>
      <c r="E606" s="191" t="n">
        <v>0.1</v>
      </c>
      <c r="F606" s="288" t="n">
        <v>0.055</v>
      </c>
      <c r="G606" s="192" t="n">
        <f aca="false">C606*D606*E606*F606</f>
        <v>0.011</v>
      </c>
      <c r="H606" s="172"/>
      <c r="I606" s="172"/>
    </row>
    <row r="607" s="210" customFormat="true" ht="15" hidden="false" customHeight="false" outlineLevel="0" collapsed="false">
      <c r="A607" s="180"/>
      <c r="B607" s="216"/>
      <c r="C607" s="203" t="n">
        <f aca="false">1*2</f>
        <v>2</v>
      </c>
      <c r="D607" s="203" t="n">
        <v>0.3</v>
      </c>
      <c r="E607" s="191" t="n">
        <v>0.1</v>
      </c>
      <c r="F607" s="232" t="n">
        <v>0.055</v>
      </c>
      <c r="G607" s="192" t="n">
        <f aca="false">C607*D607*E607*F607</f>
        <v>0.0033</v>
      </c>
      <c r="H607" s="172"/>
      <c r="I607" s="172"/>
    </row>
    <row r="608" s="229" customFormat="true" ht="15" hidden="false" customHeight="false" outlineLevel="0" collapsed="false">
      <c r="A608" s="180"/>
      <c r="B608" s="228" t="s">
        <v>161</v>
      </c>
      <c r="C608" s="228"/>
      <c r="D608" s="228"/>
      <c r="E608" s="228"/>
      <c r="F608" s="228"/>
      <c r="G608" s="228"/>
      <c r="H608" s="210"/>
    </row>
    <row r="609" s="210" customFormat="true" ht="15" hidden="false" customHeight="false" outlineLevel="0" collapsed="false">
      <c r="A609" s="180"/>
      <c r="B609" s="227" t="s">
        <v>134</v>
      </c>
      <c r="C609" s="203"/>
      <c r="D609" s="199" t="n">
        <f aca="false">D520</f>
        <v>5.43</v>
      </c>
      <c r="E609" s="212"/>
      <c r="F609" s="230" t="n">
        <v>0.065</v>
      </c>
      <c r="G609" s="192" t="n">
        <f aca="false">D609*F609</f>
        <v>0.35295</v>
      </c>
      <c r="I609" s="211"/>
    </row>
    <row r="610" s="210" customFormat="true" ht="15" hidden="false" customHeight="false" outlineLevel="0" collapsed="false">
      <c r="A610" s="180"/>
      <c r="B610" s="227" t="s">
        <v>135</v>
      </c>
      <c r="C610" s="203"/>
      <c r="D610" s="203" t="n">
        <f aca="false">D521</f>
        <v>5.28</v>
      </c>
      <c r="E610" s="212"/>
      <c r="F610" s="230" t="n">
        <v>0.065</v>
      </c>
      <c r="G610" s="192" t="n">
        <f aca="false">D610*F610</f>
        <v>0.3432</v>
      </c>
      <c r="I610" s="211"/>
    </row>
    <row r="611" s="210" customFormat="true" ht="15" hidden="false" customHeight="false" outlineLevel="0" collapsed="false">
      <c r="A611" s="180"/>
      <c r="B611" s="216" t="s">
        <v>162</v>
      </c>
      <c r="C611" s="203"/>
      <c r="D611" s="203" t="n">
        <f aca="false">D522</f>
        <v>5.66</v>
      </c>
      <c r="E611" s="212"/>
      <c r="F611" s="230" t="n">
        <v>0.065</v>
      </c>
      <c r="G611" s="192" t="n">
        <f aca="false">D611*F611</f>
        <v>0.3679</v>
      </c>
      <c r="I611" s="211"/>
    </row>
    <row r="612" s="210" customFormat="true" ht="15" hidden="false" customHeight="false" outlineLevel="0" collapsed="false">
      <c r="A612" s="180"/>
      <c r="B612" s="228" t="s">
        <v>234</v>
      </c>
      <c r="C612" s="228"/>
      <c r="D612" s="228"/>
      <c r="E612" s="228"/>
      <c r="F612" s="228"/>
      <c r="G612" s="228"/>
      <c r="I612" s="211"/>
    </row>
    <row r="613" s="210" customFormat="true" ht="15" hidden="false" customHeight="false" outlineLevel="0" collapsed="false">
      <c r="A613" s="180"/>
      <c r="B613" s="227" t="s">
        <v>235</v>
      </c>
      <c r="C613" s="203" t="n">
        <v>3</v>
      </c>
      <c r="D613" s="203" t="n">
        <f aca="false">0.5*0.5</f>
        <v>0.25</v>
      </c>
      <c r="E613" s="212"/>
      <c r="F613" s="205" t="n">
        <v>0.02</v>
      </c>
      <c r="G613" s="290" t="n">
        <f aca="false">C613*D613*F613</f>
        <v>0.015</v>
      </c>
      <c r="I613" s="211"/>
    </row>
    <row r="614" s="210" customFormat="true" ht="15" hidden="false" customHeight="false" outlineLevel="0" collapsed="false">
      <c r="A614" s="180"/>
      <c r="B614" s="216" t="s">
        <v>236</v>
      </c>
      <c r="C614" s="203" t="n">
        <v>11</v>
      </c>
      <c r="D614" s="203" t="n">
        <f aca="false">0.1*0.1</f>
        <v>0.01</v>
      </c>
      <c r="E614" s="212"/>
      <c r="F614" s="205" t="n">
        <v>0.02</v>
      </c>
      <c r="G614" s="290" t="n">
        <f aca="false">C614*D614*F614</f>
        <v>0.0022</v>
      </c>
      <c r="I614" s="211"/>
    </row>
    <row r="615" s="210" customFormat="true" ht="15" hidden="false" customHeight="true" outlineLevel="0" collapsed="false">
      <c r="A615" s="180"/>
      <c r="B615" s="193" t="s">
        <v>140</v>
      </c>
      <c r="C615" s="193"/>
      <c r="D615" s="193"/>
      <c r="E615" s="193"/>
      <c r="F615" s="193"/>
      <c r="G615" s="194" t="n">
        <f aca="false">SUM(G580:G614)</f>
        <v>4.413334</v>
      </c>
      <c r="I615" s="211"/>
    </row>
    <row r="616" s="210" customFormat="true" ht="15" hidden="false" customHeight="false" outlineLevel="0" collapsed="false">
      <c r="A616" s="180"/>
      <c r="B616" s="291"/>
      <c r="C616" s="211"/>
      <c r="D616" s="211"/>
      <c r="E616" s="211"/>
    </row>
    <row r="617" s="210" customFormat="true" ht="15" hidden="false" customHeight="false" outlineLevel="0" collapsed="false">
      <c r="A617" s="182" t="s">
        <v>54</v>
      </c>
      <c r="B617" s="273" t="str">
        <f aca="false">'Composições '!C236</f>
        <v>Aplicação de membrana de cura química</v>
      </c>
      <c r="E617" s="211"/>
      <c r="F617" s="209"/>
      <c r="G617" s="211"/>
      <c r="H617" s="211"/>
    </row>
    <row r="618" s="210" customFormat="true" ht="15.75" hidden="false" customHeight="false" outlineLevel="0" collapsed="false">
      <c r="A618" s="182"/>
      <c r="B618" s="272"/>
      <c r="E618" s="209"/>
      <c r="F618" s="209"/>
      <c r="G618" s="211"/>
      <c r="H618" s="211"/>
    </row>
    <row r="619" s="210" customFormat="true" ht="15" hidden="false" customHeight="false" outlineLevel="0" collapsed="false">
      <c r="A619" s="180"/>
      <c r="B619" s="185" t="s">
        <v>91</v>
      </c>
      <c r="C619" s="186" t="s">
        <v>109</v>
      </c>
      <c r="D619" s="186" t="s">
        <v>94</v>
      </c>
      <c r="E619" s="187" t="s">
        <v>110</v>
      </c>
      <c r="F619" s="187" t="s">
        <v>93</v>
      </c>
      <c r="G619" s="188" t="s">
        <v>96</v>
      </c>
    </row>
    <row r="620" s="229" customFormat="true" ht="15" hidden="false" customHeight="false" outlineLevel="0" collapsed="false">
      <c r="A620" s="180"/>
      <c r="B620" s="228" t="s">
        <v>145</v>
      </c>
      <c r="C620" s="228"/>
      <c r="D620" s="228"/>
      <c r="E620" s="228"/>
      <c r="F620" s="228"/>
      <c r="G620" s="228"/>
      <c r="H620" s="210"/>
      <c r="I620" s="210"/>
      <c r="J620" s="210"/>
    </row>
    <row r="621" s="210" customFormat="true" ht="15" hidden="false" customHeight="false" outlineLevel="0" collapsed="false">
      <c r="A621" s="180"/>
      <c r="B621" s="216" t="s">
        <v>153</v>
      </c>
      <c r="C621" s="199" t="n">
        <v>8</v>
      </c>
      <c r="D621" s="199" t="n">
        <v>5.73</v>
      </c>
      <c r="E621" s="200" t="n">
        <v>0.1</v>
      </c>
      <c r="F621" s="200"/>
      <c r="G621" s="192" t="n">
        <f aca="false">C621*D621*E621</f>
        <v>4.584</v>
      </c>
      <c r="H621" s="172"/>
      <c r="I621" s="172"/>
    </row>
    <row r="622" s="210" customFormat="true" ht="15" hidden="false" customHeight="false" outlineLevel="0" collapsed="false">
      <c r="A622" s="180"/>
      <c r="B622" s="216"/>
      <c r="C622" s="199" t="n">
        <v>1</v>
      </c>
      <c r="D622" s="199" t="n">
        <v>5.73</v>
      </c>
      <c r="E622" s="200" t="n">
        <v>0.18</v>
      </c>
      <c r="F622" s="200"/>
      <c r="G622" s="192" t="n">
        <f aca="false">C622*D622*E622</f>
        <v>1.0314</v>
      </c>
      <c r="H622" s="172"/>
      <c r="I622" s="172"/>
    </row>
    <row r="623" s="210" customFormat="true" ht="15" hidden="false" customHeight="false" outlineLevel="0" collapsed="false">
      <c r="A623" s="180"/>
      <c r="B623" s="216"/>
      <c r="C623" s="199" t="n">
        <f aca="false">9*9</f>
        <v>81</v>
      </c>
      <c r="D623" s="199" t="n">
        <v>0.5</v>
      </c>
      <c r="E623" s="200" t="n">
        <v>0.1</v>
      </c>
      <c r="F623" s="200"/>
      <c r="G623" s="192" t="n">
        <f aca="false">C623*D623*E623</f>
        <v>4.05</v>
      </c>
      <c r="H623" s="172"/>
      <c r="I623" s="172"/>
    </row>
    <row r="624" s="210" customFormat="true" ht="15" hidden="false" customHeight="false" outlineLevel="0" collapsed="false">
      <c r="A624" s="180"/>
      <c r="B624" s="216" t="s">
        <v>154</v>
      </c>
      <c r="C624" s="199" t="n">
        <v>8</v>
      </c>
      <c r="D624" s="199" t="n">
        <v>5.73</v>
      </c>
      <c r="E624" s="200" t="n">
        <v>0.1</v>
      </c>
      <c r="F624" s="200"/>
      <c r="G624" s="192" t="n">
        <f aca="false">C624*D624*E624</f>
        <v>4.584</v>
      </c>
      <c r="H624" s="172"/>
      <c r="I624" s="172"/>
    </row>
    <row r="625" s="210" customFormat="true" ht="15" hidden="false" customHeight="false" outlineLevel="0" collapsed="false">
      <c r="A625" s="180"/>
      <c r="B625" s="216"/>
      <c r="C625" s="199" t="n">
        <v>1</v>
      </c>
      <c r="D625" s="199" t="n">
        <v>5.73</v>
      </c>
      <c r="E625" s="200" t="n">
        <v>0.16</v>
      </c>
      <c r="F625" s="200"/>
      <c r="G625" s="192" t="n">
        <f aca="false">C625*D625*E625</f>
        <v>0.9168</v>
      </c>
      <c r="H625" s="172"/>
      <c r="I625" s="172"/>
    </row>
    <row r="626" s="210" customFormat="true" ht="15" hidden="false" customHeight="false" outlineLevel="0" collapsed="false">
      <c r="A626" s="180"/>
      <c r="B626" s="216"/>
      <c r="C626" s="199" t="n">
        <f aca="false">9*9</f>
        <v>81</v>
      </c>
      <c r="D626" s="199" t="n">
        <v>0.5</v>
      </c>
      <c r="E626" s="200" t="n">
        <v>0.1</v>
      </c>
      <c r="F626" s="200"/>
      <c r="G626" s="192" t="n">
        <f aca="false">C626*D626*E626</f>
        <v>4.05</v>
      </c>
      <c r="H626" s="172"/>
      <c r="I626" s="172"/>
    </row>
    <row r="627" s="210" customFormat="true" ht="15" hidden="false" customHeight="false" outlineLevel="0" collapsed="false">
      <c r="A627" s="180"/>
      <c r="B627" s="216" t="s">
        <v>155</v>
      </c>
      <c r="C627" s="199" t="n">
        <v>9</v>
      </c>
      <c r="D627" s="199" t="n">
        <v>5.73</v>
      </c>
      <c r="E627" s="200" t="n">
        <v>0.1</v>
      </c>
      <c r="F627" s="200"/>
      <c r="G627" s="192" t="n">
        <f aca="false">C627*D627*E627</f>
        <v>5.157</v>
      </c>
      <c r="H627" s="226"/>
      <c r="I627" s="211"/>
    </row>
    <row r="628" s="210" customFormat="true" ht="15" hidden="false" customHeight="false" outlineLevel="0" collapsed="false">
      <c r="A628" s="180"/>
      <c r="B628" s="216"/>
      <c r="C628" s="199" t="n">
        <f aca="false">8*9</f>
        <v>72</v>
      </c>
      <c r="D628" s="199" t="n">
        <v>0.5</v>
      </c>
      <c r="E628" s="200" t="n">
        <v>0.1</v>
      </c>
      <c r="F628" s="200"/>
      <c r="G628" s="192" t="n">
        <f aca="false">C628*D628*E628</f>
        <v>3.6</v>
      </c>
      <c r="H628" s="226"/>
      <c r="I628" s="211"/>
    </row>
    <row r="629" s="210" customFormat="true" ht="15" hidden="false" customHeight="false" outlineLevel="0" collapsed="false">
      <c r="A629" s="180"/>
      <c r="B629" s="216"/>
      <c r="C629" s="199" t="n">
        <f aca="false">2*9</f>
        <v>18</v>
      </c>
      <c r="D629" s="199" t="n">
        <v>0.48</v>
      </c>
      <c r="E629" s="200" t="n">
        <v>0.1</v>
      </c>
      <c r="F629" s="200"/>
      <c r="G629" s="192" t="n">
        <f aca="false">C629*D629*E629</f>
        <v>0.864</v>
      </c>
      <c r="H629" s="226"/>
      <c r="I629" s="211"/>
    </row>
    <row r="630" s="210" customFormat="true" ht="15" hidden="false" customHeight="false" outlineLevel="0" collapsed="false">
      <c r="A630" s="180"/>
      <c r="B630" s="216" t="s">
        <v>156</v>
      </c>
      <c r="C630" s="199" t="n">
        <v>8</v>
      </c>
      <c r="D630" s="199" t="n">
        <v>5.48</v>
      </c>
      <c r="E630" s="200" t="n">
        <v>0.1</v>
      </c>
      <c r="F630" s="200"/>
      <c r="G630" s="192" t="n">
        <f aca="false">C630*D630*E630</f>
        <v>4.384</v>
      </c>
      <c r="H630" s="226"/>
      <c r="I630" s="211"/>
    </row>
    <row r="631" s="210" customFormat="true" ht="15" hidden="false" customHeight="false" outlineLevel="0" collapsed="false">
      <c r="A631" s="180"/>
      <c r="B631" s="216"/>
      <c r="C631" s="199" t="n">
        <v>1</v>
      </c>
      <c r="D631" s="199" t="n">
        <v>5.48</v>
      </c>
      <c r="E631" s="200" t="n">
        <v>0.18</v>
      </c>
      <c r="F631" s="200"/>
      <c r="G631" s="192" t="n">
        <f aca="false">C631*D631*E631</f>
        <v>0.9864</v>
      </c>
      <c r="H631" s="226"/>
      <c r="I631" s="211"/>
    </row>
    <row r="632" s="210" customFormat="true" ht="15" hidden="false" customHeight="false" outlineLevel="0" collapsed="false">
      <c r="A632" s="180"/>
      <c r="B632" s="216"/>
      <c r="C632" s="199" t="n">
        <f aca="false">8*9</f>
        <v>72</v>
      </c>
      <c r="D632" s="199" t="n">
        <v>0.5</v>
      </c>
      <c r="E632" s="200" t="n">
        <v>0.1</v>
      </c>
      <c r="F632" s="200"/>
      <c r="G632" s="192" t="n">
        <f aca="false">C632*D632*E632</f>
        <v>3.6</v>
      </c>
      <c r="H632" s="226"/>
      <c r="I632" s="211"/>
    </row>
    <row r="633" s="210" customFormat="true" ht="15" hidden="false" customHeight="false" outlineLevel="0" collapsed="false">
      <c r="A633" s="180"/>
      <c r="B633" s="216"/>
      <c r="C633" s="199" t="n">
        <f aca="false">1*9</f>
        <v>9</v>
      </c>
      <c r="D633" s="199" t="n">
        <v>0.5</v>
      </c>
      <c r="E633" s="200" t="n">
        <v>0.18</v>
      </c>
      <c r="F633" s="200"/>
      <c r="G633" s="192" t="n">
        <f aca="false">C633*D633*E633</f>
        <v>0.81</v>
      </c>
      <c r="H633" s="226"/>
      <c r="I633" s="211"/>
    </row>
    <row r="634" s="210" customFormat="true" ht="15" hidden="false" customHeight="false" outlineLevel="0" collapsed="false">
      <c r="A634" s="180"/>
      <c r="B634" s="216" t="s">
        <v>157</v>
      </c>
      <c r="C634" s="203" t="n">
        <v>8</v>
      </c>
      <c r="D634" s="203" t="n">
        <v>5.48</v>
      </c>
      <c r="E634" s="191" t="n">
        <v>0.1</v>
      </c>
      <c r="F634" s="191"/>
      <c r="G634" s="192" t="n">
        <f aca="false">C634*D634*E634</f>
        <v>4.384</v>
      </c>
      <c r="H634" s="172"/>
      <c r="I634" s="172"/>
    </row>
    <row r="635" s="210" customFormat="true" ht="15" hidden="false" customHeight="false" outlineLevel="0" collapsed="false">
      <c r="A635" s="180"/>
      <c r="B635" s="216"/>
      <c r="C635" s="203" t="n">
        <v>1</v>
      </c>
      <c r="D635" s="203" t="n">
        <v>5.48</v>
      </c>
      <c r="E635" s="191" t="n">
        <v>0.16</v>
      </c>
      <c r="F635" s="212"/>
      <c r="G635" s="192" t="n">
        <f aca="false">C635*D635*E635</f>
        <v>0.8768</v>
      </c>
      <c r="H635" s="172"/>
      <c r="I635" s="172"/>
    </row>
    <row r="636" s="210" customFormat="true" ht="15" hidden="false" customHeight="false" outlineLevel="0" collapsed="false">
      <c r="A636" s="180"/>
      <c r="B636" s="216"/>
      <c r="C636" s="203" t="n">
        <f aca="false">8*9</f>
        <v>72</v>
      </c>
      <c r="D636" s="203" t="n">
        <v>0.5</v>
      </c>
      <c r="E636" s="191" t="n">
        <v>0.1</v>
      </c>
      <c r="F636" s="212"/>
      <c r="G636" s="192" t="n">
        <f aca="false">C636*D636*E636</f>
        <v>3.6</v>
      </c>
      <c r="H636" s="172"/>
      <c r="I636" s="172"/>
    </row>
    <row r="637" s="210" customFormat="true" ht="15" hidden="false" customHeight="false" outlineLevel="0" collapsed="false">
      <c r="A637" s="180"/>
      <c r="B637" s="216"/>
      <c r="C637" s="203" t="n">
        <f aca="false">1*9</f>
        <v>9</v>
      </c>
      <c r="D637" s="203" t="n">
        <v>0.5</v>
      </c>
      <c r="E637" s="191" t="n">
        <v>0.18</v>
      </c>
      <c r="F637" s="212"/>
      <c r="G637" s="192" t="n">
        <f aca="false">C637*D637*E637</f>
        <v>0.81</v>
      </c>
      <c r="H637" s="172"/>
      <c r="I637" s="172"/>
    </row>
    <row r="638" s="210" customFormat="true" ht="15" hidden="false" customHeight="false" outlineLevel="0" collapsed="false">
      <c r="A638" s="180"/>
      <c r="B638" s="216" t="s">
        <v>158</v>
      </c>
      <c r="C638" s="203" t="n">
        <v>9</v>
      </c>
      <c r="D638" s="203" t="n">
        <v>5.48</v>
      </c>
      <c r="E638" s="191" t="n">
        <v>0.1</v>
      </c>
      <c r="F638" s="212"/>
      <c r="G638" s="192" t="n">
        <f aca="false">C638*D638*E638</f>
        <v>4.932</v>
      </c>
      <c r="H638" s="172"/>
      <c r="I638" s="172"/>
    </row>
    <row r="639" s="210" customFormat="true" ht="15" hidden="false" customHeight="false" outlineLevel="0" collapsed="false">
      <c r="A639" s="180"/>
      <c r="B639" s="216"/>
      <c r="C639" s="203" t="n">
        <f aca="false">8*8</f>
        <v>64</v>
      </c>
      <c r="D639" s="203" t="n">
        <v>0.5</v>
      </c>
      <c r="E639" s="191" t="n">
        <v>0.1</v>
      </c>
      <c r="F639" s="212"/>
      <c r="G639" s="192" t="n">
        <f aca="false">C639*D639*E639</f>
        <v>3.2</v>
      </c>
      <c r="H639" s="172"/>
      <c r="I639" s="172"/>
    </row>
    <row r="640" s="210" customFormat="true" ht="15" hidden="false" customHeight="false" outlineLevel="0" collapsed="false">
      <c r="A640" s="180"/>
      <c r="B640" s="216"/>
      <c r="C640" s="203" t="n">
        <f aca="false">2*8</f>
        <v>16</v>
      </c>
      <c r="D640" s="203" t="n">
        <v>0.48</v>
      </c>
      <c r="E640" s="191" t="n">
        <v>0.1</v>
      </c>
      <c r="F640" s="212"/>
      <c r="G640" s="192" t="n">
        <f aca="false">C640*D640*E640</f>
        <v>0.768</v>
      </c>
      <c r="H640" s="172"/>
      <c r="I640" s="172"/>
    </row>
    <row r="641" s="210" customFormat="true" ht="15" hidden="false" customHeight="false" outlineLevel="0" collapsed="false">
      <c r="A641" s="180"/>
      <c r="B641" s="216"/>
      <c r="C641" s="203" t="n">
        <v>8</v>
      </c>
      <c r="D641" s="203" t="n">
        <v>0.5</v>
      </c>
      <c r="E641" s="191" t="n">
        <v>0.18</v>
      </c>
      <c r="F641" s="191"/>
      <c r="G641" s="192" t="n">
        <f aca="false">C641*D641*E641</f>
        <v>0.72</v>
      </c>
      <c r="H641" s="172"/>
      <c r="I641" s="172"/>
    </row>
    <row r="642" s="210" customFormat="true" ht="15" hidden="false" customHeight="false" outlineLevel="0" collapsed="false">
      <c r="A642" s="180"/>
      <c r="B642" s="216"/>
      <c r="C642" s="203" t="n">
        <v>2</v>
      </c>
      <c r="D642" s="203" t="n">
        <v>0.48</v>
      </c>
      <c r="E642" s="191" t="n">
        <v>0.18</v>
      </c>
      <c r="F642" s="205"/>
      <c r="G642" s="192" t="n">
        <f aca="false">C642*D642*E642</f>
        <v>0.1728</v>
      </c>
      <c r="H642" s="172"/>
      <c r="I642" s="172"/>
    </row>
    <row r="643" s="210" customFormat="true" ht="15" hidden="false" customHeight="false" outlineLevel="0" collapsed="false">
      <c r="A643" s="180"/>
      <c r="B643" s="216" t="s">
        <v>159</v>
      </c>
      <c r="C643" s="203" t="n">
        <v>4</v>
      </c>
      <c r="D643" s="203" t="n">
        <v>6.5</v>
      </c>
      <c r="E643" s="191" t="n">
        <v>0.1</v>
      </c>
      <c r="F643" s="205"/>
      <c r="G643" s="192" t="n">
        <f aca="false">C643*D643*E643</f>
        <v>2.6</v>
      </c>
      <c r="H643" s="172"/>
      <c r="I643" s="172"/>
    </row>
    <row r="644" s="210" customFormat="true" ht="15" hidden="false" customHeight="false" outlineLevel="0" collapsed="false">
      <c r="A644" s="180"/>
      <c r="B644" s="216"/>
      <c r="C644" s="203" t="n">
        <f aca="false">5*10</f>
        <v>50</v>
      </c>
      <c r="D644" s="203" t="n">
        <v>0.5</v>
      </c>
      <c r="E644" s="191" t="n">
        <v>0.1</v>
      </c>
      <c r="F644" s="205"/>
      <c r="G644" s="192" t="n">
        <f aca="false">C644*D644*E644</f>
        <v>2.5</v>
      </c>
      <c r="H644" s="172"/>
      <c r="I644" s="172"/>
    </row>
    <row r="645" s="210" customFormat="true" ht="15" hidden="false" customHeight="false" outlineLevel="0" collapsed="false">
      <c r="A645" s="180"/>
      <c r="B645" s="216" t="s">
        <v>160</v>
      </c>
      <c r="C645" s="203" t="n">
        <v>2</v>
      </c>
      <c r="D645" s="203" t="n">
        <v>1.5</v>
      </c>
      <c r="E645" s="191" t="n">
        <v>0.1</v>
      </c>
      <c r="F645" s="191"/>
      <c r="G645" s="192" t="n">
        <f aca="false">C645*D645*E645</f>
        <v>0.3</v>
      </c>
      <c r="H645" s="172"/>
      <c r="I645" s="172"/>
    </row>
    <row r="646" s="210" customFormat="true" ht="15" hidden="false" customHeight="false" outlineLevel="0" collapsed="false">
      <c r="A646" s="180"/>
      <c r="B646" s="216"/>
      <c r="C646" s="203" t="n">
        <f aca="false">2*2</f>
        <v>4</v>
      </c>
      <c r="D646" s="203" t="n">
        <v>0.5</v>
      </c>
      <c r="E646" s="191" t="n">
        <v>0.1</v>
      </c>
      <c r="F646" s="212"/>
      <c r="G646" s="192" t="n">
        <f aca="false">C646*D646*E646</f>
        <v>0.2</v>
      </c>
      <c r="H646" s="172"/>
      <c r="I646" s="172"/>
    </row>
    <row r="647" s="210" customFormat="true" ht="15" hidden="false" customHeight="false" outlineLevel="0" collapsed="false">
      <c r="A647" s="180"/>
      <c r="B647" s="216"/>
      <c r="C647" s="203" t="n">
        <f aca="false">1*2</f>
        <v>2</v>
      </c>
      <c r="D647" s="203" t="n">
        <v>0.3</v>
      </c>
      <c r="E647" s="191" t="n">
        <v>0.1</v>
      </c>
      <c r="F647" s="191"/>
      <c r="G647" s="192" t="n">
        <f aca="false">C647*D647*E647</f>
        <v>0.06</v>
      </c>
      <c r="H647" s="172"/>
      <c r="I647" s="172"/>
    </row>
    <row r="648" s="229" customFormat="true" ht="15" hidden="false" customHeight="false" outlineLevel="0" collapsed="false">
      <c r="A648" s="180"/>
      <c r="B648" s="228" t="s">
        <v>161</v>
      </c>
      <c r="C648" s="228"/>
      <c r="D648" s="228"/>
      <c r="E648" s="228"/>
      <c r="F648" s="228"/>
      <c r="G648" s="228"/>
      <c r="H648" s="210"/>
      <c r="I648" s="210"/>
      <c r="J648" s="210"/>
    </row>
    <row r="649" s="210" customFormat="true" ht="15" hidden="false" customHeight="false" outlineLevel="0" collapsed="false">
      <c r="A649" s="180"/>
      <c r="B649" s="227" t="s">
        <v>134</v>
      </c>
      <c r="C649" s="203" t="n">
        <v>1</v>
      </c>
      <c r="D649" s="203" t="n">
        <v>5.43</v>
      </c>
      <c r="E649" s="191" t="n">
        <v>0.15</v>
      </c>
      <c r="F649" s="208" t="n">
        <v>0.4</v>
      </c>
      <c r="G649" s="192" t="n">
        <f aca="false">C649*D649*(E649+F649)</f>
        <v>2.9865</v>
      </c>
    </row>
    <row r="650" s="210" customFormat="true" ht="15" hidden="false" customHeight="false" outlineLevel="0" collapsed="false">
      <c r="A650" s="180"/>
      <c r="B650" s="227" t="s">
        <v>135</v>
      </c>
      <c r="C650" s="203" t="n">
        <v>1</v>
      </c>
      <c r="D650" s="203" t="n">
        <v>5.28</v>
      </c>
      <c r="E650" s="191" t="n">
        <v>0.15</v>
      </c>
      <c r="F650" s="208" t="n">
        <v>0.4</v>
      </c>
      <c r="G650" s="192" t="n">
        <f aca="false">C650*D650*(E650+F650)</f>
        <v>2.904</v>
      </c>
    </row>
    <row r="651" s="210" customFormat="true" ht="15" hidden="false" customHeight="false" outlineLevel="0" collapsed="false">
      <c r="A651" s="180"/>
      <c r="B651" s="216" t="s">
        <v>162</v>
      </c>
      <c r="C651" s="203" t="n">
        <v>1</v>
      </c>
      <c r="D651" s="203" t="n">
        <v>5.66</v>
      </c>
      <c r="E651" s="191" t="n">
        <v>0.15</v>
      </c>
      <c r="F651" s="191" t="n">
        <v>0.4</v>
      </c>
      <c r="G651" s="192" t="n">
        <f aca="false">C651*D651*(E651+(F651*2))</f>
        <v>5.377</v>
      </c>
    </row>
    <row r="652" s="210" customFormat="true" ht="15" hidden="false" customHeight="false" outlineLevel="0" collapsed="false">
      <c r="A652" s="180"/>
      <c r="B652" s="228" t="s">
        <v>234</v>
      </c>
      <c r="C652" s="228"/>
      <c r="D652" s="228"/>
      <c r="E652" s="228"/>
      <c r="F652" s="228"/>
      <c r="G652" s="228"/>
      <c r="I652" s="211"/>
    </row>
    <row r="653" s="210" customFormat="true" ht="15" hidden="false" customHeight="false" outlineLevel="0" collapsed="false">
      <c r="A653" s="180"/>
      <c r="B653" s="227" t="s">
        <v>235</v>
      </c>
      <c r="C653" s="203" t="n">
        <v>3</v>
      </c>
      <c r="D653" s="203" t="n">
        <v>0.5</v>
      </c>
      <c r="E653" s="212" t="n">
        <v>0.5</v>
      </c>
      <c r="F653" s="205"/>
      <c r="G653" s="290" t="n">
        <f aca="false">C653*D653*E653</f>
        <v>0.75</v>
      </c>
      <c r="I653" s="211"/>
    </row>
    <row r="654" s="210" customFormat="true" ht="15" hidden="false" customHeight="false" outlineLevel="0" collapsed="false">
      <c r="A654" s="180"/>
      <c r="B654" s="216" t="s">
        <v>236</v>
      </c>
      <c r="C654" s="203" t="n">
        <v>11</v>
      </c>
      <c r="D654" s="203" t="n">
        <v>0.1</v>
      </c>
      <c r="E654" s="212" t="n">
        <v>0.1</v>
      </c>
      <c r="F654" s="234"/>
      <c r="G654" s="290" t="n">
        <f aca="false">C654*D654*E654</f>
        <v>0.11</v>
      </c>
      <c r="I654" s="211"/>
    </row>
    <row r="655" s="210" customFormat="true" ht="15" hidden="false" customHeight="true" outlineLevel="0" collapsed="false">
      <c r="A655" s="180"/>
      <c r="B655" s="193" t="s">
        <v>118</v>
      </c>
      <c r="C655" s="193"/>
      <c r="D655" s="193"/>
      <c r="E655" s="193"/>
      <c r="F655" s="193"/>
      <c r="G655" s="194" t="n">
        <f aca="false">SUM(G620:G654)</f>
        <v>75.8687</v>
      </c>
    </row>
    <row r="656" s="210" customFormat="true" ht="15" hidden="false" customHeight="false" outlineLevel="0" collapsed="false">
      <c r="A656" s="180"/>
      <c r="B656" s="272"/>
    </row>
    <row r="657" s="210" customFormat="true" ht="15" hidden="false" customHeight="false" outlineLevel="0" collapsed="false">
      <c r="A657" s="182" t="s">
        <v>55</v>
      </c>
      <c r="B657" s="273" t="str">
        <f aca="false">'Composições '!C244</f>
        <v>Corte de reparo de estruturas utilizando disco de corte diamantado</v>
      </c>
      <c r="F657" s="209"/>
      <c r="G657" s="211"/>
    </row>
    <row r="658" s="210" customFormat="true" ht="15.75" hidden="false" customHeight="false" outlineLevel="0" collapsed="false">
      <c r="A658" s="182"/>
      <c r="B658" s="272"/>
      <c r="F658" s="209"/>
      <c r="G658" s="211"/>
    </row>
    <row r="659" s="210" customFormat="true" ht="15" hidden="false" customHeight="false" outlineLevel="0" collapsed="false">
      <c r="A659" s="180"/>
      <c r="B659" s="185" t="s">
        <v>91</v>
      </c>
      <c r="C659" s="186" t="s">
        <v>109</v>
      </c>
      <c r="D659" s="186" t="s">
        <v>94</v>
      </c>
      <c r="E659" s="187" t="s">
        <v>110</v>
      </c>
      <c r="F659" s="187" t="s">
        <v>93</v>
      </c>
      <c r="G659" s="236" t="s">
        <v>237</v>
      </c>
    </row>
    <row r="660" s="210" customFormat="true" ht="15" hidden="false" customHeight="false" outlineLevel="0" collapsed="false">
      <c r="A660" s="180"/>
      <c r="B660" s="228" t="s">
        <v>232</v>
      </c>
      <c r="C660" s="228"/>
      <c r="D660" s="228"/>
      <c r="E660" s="228"/>
      <c r="F660" s="228"/>
      <c r="G660" s="228"/>
    </row>
    <row r="661" s="210" customFormat="true" ht="15" hidden="false" customHeight="false" outlineLevel="0" collapsed="false">
      <c r="A661" s="180"/>
      <c r="B661" s="284" t="s">
        <v>153</v>
      </c>
      <c r="C661" s="199" t="n">
        <f aca="false">18*4</f>
        <v>72</v>
      </c>
      <c r="D661" s="199" t="n">
        <v>0.3</v>
      </c>
      <c r="E661" s="200"/>
      <c r="F661" s="200"/>
      <c r="G661" s="192" t="n">
        <f aca="false">C661*D661</f>
        <v>21.6</v>
      </c>
    </row>
    <row r="662" s="210" customFormat="true" ht="15" hidden="false" customHeight="false" outlineLevel="0" collapsed="false">
      <c r="A662" s="180"/>
      <c r="B662" s="284" t="s">
        <v>154</v>
      </c>
      <c r="C662" s="199" t="n">
        <f aca="false">18*4</f>
        <v>72</v>
      </c>
      <c r="D662" s="199" t="n">
        <v>0.3</v>
      </c>
      <c r="E662" s="200"/>
      <c r="F662" s="200"/>
      <c r="G662" s="192" t="n">
        <f aca="false">C662*D662</f>
        <v>21.6</v>
      </c>
    </row>
    <row r="663" s="210" customFormat="true" ht="15" hidden="false" customHeight="false" outlineLevel="0" collapsed="false">
      <c r="A663" s="180"/>
      <c r="B663" s="284" t="s">
        <v>155</v>
      </c>
      <c r="C663" s="199" t="n">
        <f aca="false">18*4</f>
        <v>72</v>
      </c>
      <c r="D663" s="199" t="n">
        <v>0.3</v>
      </c>
      <c r="E663" s="200"/>
      <c r="F663" s="200"/>
      <c r="G663" s="192" t="n">
        <f aca="false">C663*D663</f>
        <v>21.6</v>
      </c>
    </row>
    <row r="664" s="210" customFormat="true" ht="15" hidden="false" customHeight="false" outlineLevel="0" collapsed="false">
      <c r="A664" s="180"/>
      <c r="B664" s="227" t="s">
        <v>156</v>
      </c>
      <c r="C664" s="203" t="n">
        <f aca="false">18*4</f>
        <v>72</v>
      </c>
      <c r="D664" s="199" t="n">
        <v>0.3</v>
      </c>
      <c r="E664" s="200"/>
      <c r="F664" s="200"/>
      <c r="G664" s="192" t="n">
        <f aca="false">C664*D664</f>
        <v>21.6</v>
      </c>
    </row>
    <row r="665" s="210" customFormat="true" ht="15" hidden="false" customHeight="false" outlineLevel="0" collapsed="false">
      <c r="A665" s="180"/>
      <c r="B665" s="227" t="s">
        <v>157</v>
      </c>
      <c r="C665" s="237" t="n">
        <f aca="false">18*4</f>
        <v>72</v>
      </c>
      <c r="D665" s="199" t="n">
        <v>0.3</v>
      </c>
      <c r="E665" s="200"/>
      <c r="F665" s="200"/>
      <c r="G665" s="192" t="n">
        <f aca="false">C665*D665</f>
        <v>21.6</v>
      </c>
    </row>
    <row r="666" s="210" customFormat="true" ht="15" hidden="false" customHeight="false" outlineLevel="0" collapsed="false">
      <c r="A666" s="180"/>
      <c r="B666" s="227" t="s">
        <v>158</v>
      </c>
      <c r="C666" s="237" t="n">
        <f aca="false">18*4</f>
        <v>72</v>
      </c>
      <c r="D666" s="199" t="n">
        <v>0.3</v>
      </c>
      <c r="E666" s="200"/>
      <c r="F666" s="200"/>
      <c r="G666" s="192" t="n">
        <f aca="false">C666*D666</f>
        <v>21.6</v>
      </c>
    </row>
    <row r="667" s="210" customFormat="true" ht="15" hidden="false" customHeight="false" outlineLevel="0" collapsed="false">
      <c r="A667" s="180"/>
      <c r="B667" s="227" t="s">
        <v>159</v>
      </c>
      <c r="C667" s="203" t="n">
        <v>36</v>
      </c>
      <c r="D667" s="199" t="n">
        <v>0.3</v>
      </c>
      <c r="E667" s="200"/>
      <c r="F667" s="200"/>
      <c r="G667" s="192" t="n">
        <f aca="false">C667*D667</f>
        <v>10.8</v>
      </c>
    </row>
    <row r="668" s="210" customFormat="true" ht="15" hidden="false" customHeight="false" outlineLevel="0" collapsed="false">
      <c r="A668" s="180"/>
      <c r="B668" s="284" t="s">
        <v>160</v>
      </c>
      <c r="C668" s="203" t="n">
        <v>4</v>
      </c>
      <c r="D668" s="199" t="n">
        <v>0.3</v>
      </c>
      <c r="E668" s="200"/>
      <c r="F668" s="200"/>
      <c r="G668" s="192" t="n">
        <f aca="false">C668*D668</f>
        <v>1.2</v>
      </c>
    </row>
    <row r="669" s="210" customFormat="true" ht="15" hidden="false" customHeight="false" outlineLevel="0" collapsed="false">
      <c r="A669" s="180"/>
      <c r="B669" s="227" t="s">
        <v>134</v>
      </c>
      <c r="C669" s="203" t="n">
        <v>4</v>
      </c>
      <c r="D669" s="199" t="n">
        <v>0.3</v>
      </c>
      <c r="E669" s="200"/>
      <c r="F669" s="200"/>
      <c r="G669" s="192" t="n">
        <f aca="false">C669*D669</f>
        <v>1.2</v>
      </c>
    </row>
    <row r="670" s="210" customFormat="true" ht="15" hidden="false" customHeight="false" outlineLevel="0" collapsed="false">
      <c r="A670" s="180"/>
      <c r="B670" s="227" t="s">
        <v>135</v>
      </c>
      <c r="C670" s="203" t="n">
        <v>4</v>
      </c>
      <c r="D670" s="199" t="n">
        <v>0.3</v>
      </c>
      <c r="E670" s="200"/>
      <c r="F670" s="200"/>
      <c r="G670" s="192" t="n">
        <f aca="false">C670*D670</f>
        <v>1.2</v>
      </c>
    </row>
    <row r="671" s="210" customFormat="true" ht="15" hidden="false" customHeight="false" outlineLevel="0" collapsed="false">
      <c r="A671" s="180"/>
      <c r="B671" s="216" t="s">
        <v>162</v>
      </c>
      <c r="C671" s="203" t="n">
        <v>4</v>
      </c>
      <c r="D671" s="199" t="n">
        <v>0.3</v>
      </c>
      <c r="E671" s="200"/>
      <c r="F671" s="200"/>
      <c r="G671" s="192" t="n">
        <f aca="false">C671*D671</f>
        <v>1.2</v>
      </c>
    </row>
    <row r="672" s="210" customFormat="true" ht="15.75" hidden="false" customHeight="false" outlineLevel="0" collapsed="false">
      <c r="A672" s="180"/>
      <c r="B672" s="250" t="s">
        <v>175</v>
      </c>
      <c r="C672" s="250"/>
      <c r="D672" s="250"/>
      <c r="E672" s="250"/>
      <c r="F672" s="250"/>
      <c r="G672" s="194" t="n">
        <f aca="false">SUM(G660:G671)</f>
        <v>145.2</v>
      </c>
    </row>
    <row r="673" s="210" customFormat="true" ht="15" hidden="false" customHeight="false" outlineLevel="0" collapsed="false">
      <c r="A673" s="180"/>
      <c r="B673" s="291"/>
    </row>
    <row r="674" s="210" customFormat="true" ht="15" hidden="false" customHeight="false" outlineLevel="0" collapsed="false">
      <c r="A674" s="180"/>
      <c r="B674" s="291"/>
    </row>
    <row r="675" customFormat="false" ht="15" hidden="false" customHeight="false" outlineLevel="0" collapsed="false">
      <c r="A675" s="180" t="s">
        <v>56</v>
      </c>
      <c r="B675" s="218" t="str">
        <f aca="false">'Composições '!C253</f>
        <v>Aplicação de solução realcalinizadora por difusão natural, cinco demãos, MC - ReALC ou similar</v>
      </c>
      <c r="C675" s="210"/>
      <c r="D675" s="210"/>
      <c r="E675" s="210"/>
      <c r="F675" s="196"/>
      <c r="H675" s="210"/>
    </row>
    <row r="676" customFormat="false" ht="15.75" hidden="false" customHeight="false" outlineLevel="0" collapsed="false">
      <c r="A676" s="180"/>
      <c r="B676" s="245"/>
      <c r="C676" s="210"/>
      <c r="D676" s="210"/>
      <c r="E676" s="210"/>
      <c r="F676" s="246"/>
      <c r="H676" s="210"/>
    </row>
    <row r="677" s="229" customFormat="true" ht="15" hidden="false" customHeight="false" outlineLevel="0" collapsed="false">
      <c r="A677" s="180"/>
      <c r="B677" s="185" t="s">
        <v>91</v>
      </c>
      <c r="C677" s="215" t="s">
        <v>109</v>
      </c>
      <c r="D677" s="215" t="s">
        <v>94</v>
      </c>
      <c r="E677" s="187" t="s">
        <v>110</v>
      </c>
      <c r="F677" s="187" t="s">
        <v>93</v>
      </c>
      <c r="G677" s="236" t="s">
        <v>176</v>
      </c>
      <c r="H677" s="210"/>
    </row>
    <row r="678" s="229" customFormat="true" ht="15" hidden="false" customHeight="false" outlineLevel="0" collapsed="false">
      <c r="A678" s="180"/>
      <c r="B678" s="228" t="s">
        <v>161</v>
      </c>
      <c r="C678" s="228"/>
      <c r="D678" s="228"/>
      <c r="E678" s="228"/>
      <c r="F678" s="228"/>
      <c r="G678" s="228"/>
      <c r="H678" s="210"/>
    </row>
    <row r="679" s="210" customFormat="true" ht="15" hidden="false" customHeight="false" outlineLevel="0" collapsed="false">
      <c r="A679" s="180"/>
      <c r="B679" s="202" t="s">
        <v>177</v>
      </c>
      <c r="C679" s="203" t="n">
        <v>1</v>
      </c>
      <c r="D679" s="203" t="n">
        <f aca="false">5.66+5.46+5.48</f>
        <v>16.6</v>
      </c>
      <c r="E679" s="247"/>
      <c r="F679" s="191" t="n">
        <v>0.9</v>
      </c>
      <c r="G679" s="217" t="n">
        <f aca="false">C679*D679*F679</f>
        <v>14.94</v>
      </c>
      <c r="I679" s="211"/>
    </row>
    <row r="680" s="210" customFormat="true" ht="15" hidden="false" customHeight="false" outlineLevel="0" collapsed="false">
      <c r="A680" s="180"/>
      <c r="B680" s="202" t="s">
        <v>178</v>
      </c>
      <c r="C680" s="203" t="n">
        <v>1</v>
      </c>
      <c r="D680" s="203" t="n">
        <f aca="false">5.46+5.48</f>
        <v>10.94</v>
      </c>
      <c r="E680" s="247" t="n">
        <v>0.15</v>
      </c>
      <c r="F680" s="191" t="n">
        <v>0.5</v>
      </c>
      <c r="G680" s="217" t="n">
        <f aca="false">C680*D680*(E680+(F680*2))</f>
        <v>12.581</v>
      </c>
      <c r="I680" s="211"/>
    </row>
    <row r="681" s="210" customFormat="true" ht="15" hidden="false" customHeight="false" outlineLevel="0" collapsed="false">
      <c r="A681" s="180"/>
      <c r="B681" s="202" t="s">
        <v>179</v>
      </c>
      <c r="C681" s="203" t="n">
        <v>1</v>
      </c>
      <c r="D681" s="203" t="n">
        <f aca="false">5.66+5.46+5.48</f>
        <v>16.6</v>
      </c>
      <c r="E681" s="247"/>
      <c r="F681" s="191" t="n">
        <v>0.5</v>
      </c>
      <c r="G681" s="217" t="n">
        <f aca="false">C681*D681*F681</f>
        <v>8.3</v>
      </c>
      <c r="I681" s="211"/>
    </row>
    <row r="682" s="210" customFormat="true" ht="15" hidden="false" customHeight="false" outlineLevel="0" collapsed="false">
      <c r="A682" s="180"/>
      <c r="B682" s="202" t="s">
        <v>180</v>
      </c>
      <c r="C682" s="203" t="n">
        <v>1</v>
      </c>
      <c r="D682" s="203" t="n">
        <v>11.36</v>
      </c>
      <c r="E682" s="247"/>
      <c r="F682" s="191" t="n">
        <v>0.5</v>
      </c>
      <c r="G682" s="217" t="n">
        <f aca="false">C682*D682*F682</f>
        <v>5.68</v>
      </c>
      <c r="I682" s="211"/>
    </row>
    <row r="683" s="210" customFormat="true" ht="15" hidden="false" customHeight="false" outlineLevel="0" collapsed="false">
      <c r="A683" s="180"/>
      <c r="B683" s="202" t="s">
        <v>137</v>
      </c>
      <c r="C683" s="203" t="n">
        <v>1</v>
      </c>
      <c r="D683" s="203" t="n">
        <v>11.36</v>
      </c>
      <c r="E683" s="247" t="n">
        <v>0.35</v>
      </c>
      <c r="F683" s="191" t="n">
        <v>0.5</v>
      </c>
      <c r="G683" s="217" t="n">
        <f aca="false">C683*D683*(E683+(F683*2))</f>
        <v>15.336</v>
      </c>
      <c r="I683" s="211"/>
    </row>
    <row r="684" s="210" customFormat="true" ht="15" hidden="false" customHeight="false" outlineLevel="0" collapsed="false">
      <c r="A684" s="180"/>
      <c r="B684" s="202" t="s">
        <v>138</v>
      </c>
      <c r="C684" s="203" t="n">
        <v>1</v>
      </c>
      <c r="D684" s="203" t="n">
        <v>11.36</v>
      </c>
      <c r="E684" s="247" t="n">
        <v>0.35</v>
      </c>
      <c r="F684" s="191" t="n">
        <v>0.5</v>
      </c>
      <c r="G684" s="217" t="n">
        <f aca="false">C684*D684*(E684+(F684*2))</f>
        <v>15.336</v>
      </c>
      <c r="I684" s="211"/>
    </row>
    <row r="685" s="210" customFormat="true" ht="15" hidden="false" customHeight="false" outlineLevel="0" collapsed="false">
      <c r="A685" s="180"/>
      <c r="B685" s="228" t="s">
        <v>182</v>
      </c>
      <c r="C685" s="228"/>
      <c r="D685" s="228"/>
      <c r="E685" s="228"/>
      <c r="F685" s="228"/>
      <c r="G685" s="228"/>
      <c r="I685" s="211"/>
    </row>
    <row r="686" s="210" customFormat="true" ht="15" hidden="false" customHeight="false" outlineLevel="0" collapsed="false">
      <c r="A686" s="180"/>
      <c r="B686" s="227" t="s">
        <v>183</v>
      </c>
      <c r="C686" s="241" t="n">
        <v>1</v>
      </c>
      <c r="D686" s="241" t="n">
        <f aca="false">2.7+1.4</f>
        <v>4.1</v>
      </c>
      <c r="E686" s="248"/>
      <c r="F686" s="242" t="n">
        <v>0.5</v>
      </c>
      <c r="G686" s="249" t="n">
        <f aca="false">C686*D686*F686</f>
        <v>2.05</v>
      </c>
      <c r="I686" s="211"/>
    </row>
    <row r="687" s="210" customFormat="true" ht="15" hidden="false" customHeight="false" outlineLevel="0" collapsed="false">
      <c r="A687" s="180"/>
      <c r="B687" s="227" t="s">
        <v>184</v>
      </c>
      <c r="C687" s="241" t="n">
        <v>1</v>
      </c>
      <c r="D687" s="241" t="n">
        <v>1.5</v>
      </c>
      <c r="E687" s="248"/>
      <c r="F687" s="242" t="n">
        <v>0.5</v>
      </c>
      <c r="G687" s="249" t="n">
        <f aca="false">C687*D687*F687</f>
        <v>0.75</v>
      </c>
      <c r="I687" s="211"/>
    </row>
    <row r="688" s="210" customFormat="true" ht="15" hidden="false" customHeight="false" outlineLevel="0" collapsed="false">
      <c r="A688" s="180"/>
      <c r="B688" s="227" t="s">
        <v>185</v>
      </c>
      <c r="C688" s="241" t="n">
        <v>1</v>
      </c>
      <c r="D688" s="241" t="n">
        <v>1.5</v>
      </c>
      <c r="E688" s="248"/>
      <c r="F688" s="242" t="n">
        <v>0.5</v>
      </c>
      <c r="G688" s="249" t="n">
        <f aca="false">C688*D688*F688</f>
        <v>0.75</v>
      </c>
      <c r="I688" s="211"/>
    </row>
    <row r="689" s="210" customFormat="true" ht="15" hidden="false" customHeight="false" outlineLevel="0" collapsed="false">
      <c r="A689" s="180"/>
      <c r="B689" s="227" t="s">
        <v>186</v>
      </c>
      <c r="C689" s="241" t="n">
        <v>1</v>
      </c>
      <c r="D689" s="241" t="n">
        <v>1.3</v>
      </c>
      <c r="E689" s="248" t="n">
        <v>0.15</v>
      </c>
      <c r="F689" s="242" t="n">
        <v>0.5</v>
      </c>
      <c r="G689" s="249" t="n">
        <f aca="false">C689*D689*(F689+E689)</f>
        <v>0.845</v>
      </c>
      <c r="I689" s="211"/>
    </row>
    <row r="690" s="210" customFormat="true" ht="15" hidden="false" customHeight="false" outlineLevel="0" collapsed="false">
      <c r="A690" s="180"/>
      <c r="B690" s="227" t="s">
        <v>187</v>
      </c>
      <c r="C690" s="241" t="n">
        <v>1</v>
      </c>
      <c r="D690" s="241" t="n">
        <v>4.8</v>
      </c>
      <c r="E690" s="248"/>
      <c r="F690" s="242" t="n">
        <v>0.5</v>
      </c>
      <c r="G690" s="249" t="n">
        <f aca="false">C690*D690*F690</f>
        <v>2.4</v>
      </c>
      <c r="I690" s="211"/>
    </row>
    <row r="691" s="210" customFormat="true" ht="15" hidden="false" customHeight="false" outlineLevel="0" collapsed="false">
      <c r="A691" s="180"/>
      <c r="B691" s="227" t="s">
        <v>179</v>
      </c>
      <c r="C691" s="241" t="n">
        <v>1</v>
      </c>
      <c r="D691" s="241" t="n">
        <v>2.45</v>
      </c>
      <c r="E691" s="248"/>
      <c r="F691" s="242" t="n">
        <v>0.5</v>
      </c>
      <c r="G691" s="249" t="n">
        <f aca="false">C691*D691*F691</f>
        <v>1.225</v>
      </c>
      <c r="I691" s="211"/>
    </row>
    <row r="692" s="210" customFormat="true" ht="15" hidden="false" customHeight="false" outlineLevel="0" collapsed="false">
      <c r="A692" s="180"/>
      <c r="B692" s="202" t="s">
        <v>188</v>
      </c>
      <c r="C692" s="203" t="n">
        <v>1</v>
      </c>
      <c r="D692" s="203" t="n">
        <v>6.3</v>
      </c>
      <c r="E692" s="247"/>
      <c r="F692" s="191" t="n">
        <v>0.5</v>
      </c>
      <c r="G692" s="217" t="n">
        <f aca="false">C692*D692*F692</f>
        <v>3.15</v>
      </c>
      <c r="I692" s="211"/>
    </row>
    <row r="693" s="172" customFormat="true" ht="15.75" hidden="false" customHeight="false" outlineLevel="0" collapsed="false">
      <c r="A693" s="180"/>
      <c r="B693" s="292" t="s">
        <v>238</v>
      </c>
      <c r="C693" s="292"/>
      <c r="D693" s="292"/>
      <c r="E693" s="292"/>
      <c r="F693" s="292"/>
      <c r="G693" s="293" t="n">
        <f aca="false">SUM(G679:G692)</f>
        <v>83.343</v>
      </c>
      <c r="H693" s="210"/>
    </row>
    <row r="694" customFormat="false" ht="15" hidden="false" customHeight="false" outlineLevel="0" collapsed="false">
      <c r="A694" s="243"/>
      <c r="B694" s="244"/>
      <c r="C694" s="210"/>
      <c r="D694" s="210"/>
      <c r="E694" s="197"/>
      <c r="F694" s="197"/>
      <c r="H694" s="210"/>
    </row>
    <row r="695" s="210" customFormat="true" ht="15" hidden="false" customHeight="false" outlineLevel="0" collapsed="false">
      <c r="A695" s="182" t="s">
        <v>57</v>
      </c>
      <c r="B695" s="183" t="str">
        <f aca="false">'Composições '!C262</f>
        <v>Restauro - Injeção de resina epoxi para tratamento de trincas</v>
      </c>
      <c r="E695" s="209"/>
      <c r="F695" s="209"/>
      <c r="G695" s="211"/>
    </row>
    <row r="696" s="210" customFormat="true" ht="15.75" hidden="false" customHeight="false" outlineLevel="0" collapsed="false">
      <c r="A696" s="182"/>
      <c r="B696" s="221"/>
      <c r="E696" s="209"/>
      <c r="F696" s="209"/>
      <c r="G696" s="211"/>
    </row>
    <row r="697" s="210" customFormat="true" ht="15" hidden="false" customHeight="false" outlineLevel="0" collapsed="false">
      <c r="A697" s="180"/>
      <c r="B697" s="185" t="s">
        <v>91</v>
      </c>
      <c r="C697" s="186" t="s">
        <v>109</v>
      </c>
      <c r="D697" s="186" t="s">
        <v>94</v>
      </c>
      <c r="E697" s="187" t="s">
        <v>110</v>
      </c>
      <c r="F697" s="187" t="s">
        <v>93</v>
      </c>
      <c r="G697" s="294" t="s">
        <v>94</v>
      </c>
    </row>
    <row r="698" s="229" customFormat="true" ht="15" hidden="false" customHeight="false" outlineLevel="0" collapsed="false">
      <c r="A698" s="180"/>
      <c r="B698" s="228" t="s">
        <v>161</v>
      </c>
      <c r="C698" s="228"/>
      <c r="D698" s="228"/>
      <c r="E698" s="228"/>
      <c r="F698" s="228"/>
      <c r="G698" s="228"/>
      <c r="H698" s="210"/>
      <c r="I698" s="210"/>
      <c r="J698" s="210"/>
    </row>
    <row r="699" s="210" customFormat="true" ht="15" hidden="false" customHeight="false" outlineLevel="0" collapsed="false">
      <c r="A699" s="180"/>
      <c r="B699" s="189" t="s">
        <v>138</v>
      </c>
      <c r="C699" s="199" t="n">
        <v>1</v>
      </c>
      <c r="D699" s="199"/>
      <c r="E699" s="200" t="n">
        <v>0.35</v>
      </c>
      <c r="F699" s="200" t="n">
        <f aca="false">0.7-0.2</f>
        <v>0.5</v>
      </c>
      <c r="G699" s="295" t="n">
        <f aca="false">C699*(E699+(F699*2))</f>
        <v>1.35</v>
      </c>
    </row>
    <row r="700" s="210" customFormat="true" ht="15" hidden="false" customHeight="false" outlineLevel="0" collapsed="false">
      <c r="A700" s="180"/>
      <c r="B700" s="189" t="s">
        <v>137</v>
      </c>
      <c r="C700" s="199" t="n">
        <v>1</v>
      </c>
      <c r="D700" s="199"/>
      <c r="E700" s="200" t="n">
        <v>0.35</v>
      </c>
      <c r="F700" s="200" t="n">
        <f aca="false">0.7-0.2</f>
        <v>0.5</v>
      </c>
      <c r="G700" s="295" t="n">
        <f aca="false">C700*(E700+(F700*2))</f>
        <v>1.35</v>
      </c>
    </row>
    <row r="701" s="210" customFormat="true" ht="15" hidden="false" customHeight="false" outlineLevel="0" collapsed="false">
      <c r="A701" s="180"/>
      <c r="B701" s="189" t="s">
        <v>239</v>
      </c>
      <c r="C701" s="199" t="n">
        <v>2</v>
      </c>
      <c r="D701" s="199"/>
      <c r="E701" s="200" t="n">
        <v>0.15</v>
      </c>
      <c r="F701" s="200" t="n">
        <f aca="false">0.7-0.2</f>
        <v>0.5</v>
      </c>
      <c r="G701" s="295" t="n">
        <f aca="false">C701*(E701+(F701*2))</f>
        <v>2.3</v>
      </c>
    </row>
    <row r="702" s="210" customFormat="true" ht="15" hidden="false" customHeight="false" outlineLevel="0" collapsed="false">
      <c r="A702" s="180"/>
      <c r="B702" s="189" t="s">
        <v>240</v>
      </c>
      <c r="C702" s="203" t="n">
        <v>1</v>
      </c>
      <c r="D702" s="203"/>
      <c r="E702" s="191" t="n">
        <v>0.15</v>
      </c>
      <c r="F702" s="191" t="n">
        <f aca="false">1.1-0.2</f>
        <v>0.9</v>
      </c>
      <c r="G702" s="295" t="n">
        <f aca="false">C702*(E702+F702)</f>
        <v>1.05</v>
      </c>
    </row>
    <row r="703" s="210" customFormat="true" ht="15" hidden="false" customHeight="true" outlineLevel="0" collapsed="false">
      <c r="A703" s="180"/>
      <c r="B703" s="193" t="s">
        <v>175</v>
      </c>
      <c r="C703" s="193"/>
      <c r="D703" s="193"/>
      <c r="E703" s="193"/>
      <c r="F703" s="193"/>
      <c r="G703" s="194" t="n">
        <f aca="false">SUM(G698:G702)</f>
        <v>6.05</v>
      </c>
    </row>
    <row r="704" s="210" customFormat="true" ht="15" hidden="false" customHeight="false" outlineLevel="0" collapsed="false">
      <c r="A704" s="180"/>
      <c r="B704" s="291"/>
      <c r="E704" s="233"/>
    </row>
    <row r="705" s="172" customFormat="true" ht="15" hidden="false" customHeight="false" outlineLevel="0" collapsed="false">
      <c r="A705" s="296" t="n">
        <v>3</v>
      </c>
      <c r="B705" s="297" t="s">
        <v>241</v>
      </c>
      <c r="C705" s="210"/>
      <c r="D705" s="210"/>
      <c r="E705" s="233"/>
    </row>
    <row r="706" s="172" customFormat="true" ht="15" hidden="false" customHeight="false" outlineLevel="0" collapsed="false">
      <c r="A706" s="180"/>
      <c r="B706" s="291"/>
      <c r="C706" s="210"/>
      <c r="D706" s="210"/>
      <c r="E706" s="233"/>
    </row>
    <row r="707" s="172" customFormat="true" ht="15" hidden="false" customHeight="false" outlineLevel="0" collapsed="false">
      <c r="A707" s="182" t="s">
        <v>59</v>
      </c>
      <c r="B707" s="220" t="str">
        <f aca="false">'Composições '!C273</f>
        <v>Junção simples, pvc, serie r, água pluvial, dn 100 x 100 mm, junta elástica, fornecido e instalado em ramal de encaminhamento. </v>
      </c>
      <c r="C707" s="220"/>
      <c r="D707" s="220"/>
      <c r="E707" s="220"/>
      <c r="F707" s="220"/>
      <c r="G707" s="220"/>
      <c r="H707" s="220"/>
    </row>
    <row r="708" s="172" customFormat="true" ht="15.75" hidden="false" customHeight="false" outlineLevel="0" collapsed="false">
      <c r="A708" s="182"/>
      <c r="B708" s="221"/>
      <c r="C708" s="222"/>
      <c r="D708" s="222"/>
      <c r="E708" s="209"/>
      <c r="F708" s="209"/>
      <c r="G708" s="211"/>
      <c r="H708" s="211"/>
    </row>
    <row r="709" s="229" customFormat="true" ht="15" hidden="false" customHeight="false" outlineLevel="0" collapsed="false">
      <c r="A709" s="180"/>
      <c r="B709" s="185" t="s">
        <v>91</v>
      </c>
      <c r="C709" s="186" t="s">
        <v>109</v>
      </c>
      <c r="D709" s="186" t="s">
        <v>94</v>
      </c>
      <c r="E709" s="187" t="s">
        <v>110</v>
      </c>
      <c r="F709" s="187" t="s">
        <v>93</v>
      </c>
      <c r="G709" s="188" t="s">
        <v>194</v>
      </c>
      <c r="H709" s="225"/>
    </row>
    <row r="710" s="229" customFormat="true" ht="15" hidden="false" customHeight="false" outlineLevel="0" collapsed="false">
      <c r="A710" s="180"/>
      <c r="B710" s="189" t="s">
        <v>111</v>
      </c>
      <c r="C710" s="203" t="n">
        <v>4</v>
      </c>
      <c r="D710" s="203"/>
      <c r="E710" s="191"/>
      <c r="F710" s="191"/>
      <c r="G710" s="217" t="n">
        <f aca="false">C710</f>
        <v>4</v>
      </c>
    </row>
    <row r="711" s="229" customFormat="true" ht="15" hidden="false" customHeight="false" outlineLevel="0" collapsed="false">
      <c r="A711" s="180"/>
      <c r="B711" s="189"/>
      <c r="C711" s="203"/>
      <c r="D711" s="203"/>
      <c r="E711" s="191"/>
      <c r="F711" s="191"/>
      <c r="G711" s="217"/>
    </row>
    <row r="712" s="229" customFormat="true" ht="15.75" hidden="false" customHeight="false" outlineLevel="0" collapsed="false">
      <c r="A712" s="180"/>
      <c r="B712" s="193" t="s">
        <v>108</v>
      </c>
      <c r="C712" s="193"/>
      <c r="D712" s="193"/>
      <c r="E712" s="193"/>
      <c r="F712" s="193"/>
      <c r="G712" s="194" t="n">
        <f aca="false">SUM(G710:G711)</f>
        <v>4</v>
      </c>
    </row>
    <row r="713" s="172" customFormat="true" ht="15" hidden="false" customHeight="false" outlineLevel="0" collapsed="false">
      <c r="A713" s="180"/>
      <c r="B713" s="195"/>
      <c r="C713" s="229"/>
      <c r="D713" s="229"/>
      <c r="E713" s="229"/>
      <c r="F713" s="229"/>
      <c r="G713" s="229"/>
      <c r="H713" s="229"/>
      <c r="I713" s="229"/>
      <c r="J713" s="229"/>
    </row>
    <row r="714" s="172" customFormat="true" ht="15" hidden="false" customHeight="true" outlineLevel="0" collapsed="false">
      <c r="A714" s="298" t="s">
        <v>60</v>
      </c>
      <c r="B714" s="195" t="str">
        <f aca="false">'Composições '!C283</f>
        <v>Joelho 45 graus, pvc, serie r, água pluvial, dn 100 mm, junta elástica, fornecido e instalado em ramal de encaminhamento. </v>
      </c>
      <c r="C714" s="229"/>
      <c r="D714" s="229"/>
      <c r="E714" s="229"/>
      <c r="F714" s="229"/>
      <c r="G714" s="229"/>
      <c r="H714" s="229"/>
      <c r="I714" s="229"/>
      <c r="J714" s="229"/>
    </row>
    <row r="715" s="172" customFormat="true" ht="15.75" hidden="false" customHeight="false" outlineLevel="0" collapsed="false">
      <c r="A715" s="180"/>
      <c r="B715" s="195"/>
      <c r="C715" s="229"/>
      <c r="D715" s="229"/>
      <c r="E715" s="229"/>
      <c r="F715" s="229"/>
      <c r="G715" s="229"/>
      <c r="H715" s="229"/>
      <c r="I715" s="229"/>
      <c r="J715" s="229"/>
    </row>
    <row r="716" s="229" customFormat="true" ht="15" hidden="false" customHeight="false" outlineLevel="0" collapsed="false">
      <c r="A716" s="180"/>
      <c r="B716" s="185" t="s">
        <v>91</v>
      </c>
      <c r="C716" s="186" t="s">
        <v>109</v>
      </c>
      <c r="D716" s="186" t="s">
        <v>94</v>
      </c>
      <c r="E716" s="187" t="s">
        <v>110</v>
      </c>
      <c r="F716" s="187" t="s">
        <v>93</v>
      </c>
      <c r="G716" s="188" t="s">
        <v>194</v>
      </c>
    </row>
    <row r="717" s="229" customFormat="true" ht="15" hidden="false" customHeight="false" outlineLevel="0" collapsed="false">
      <c r="A717" s="180"/>
      <c r="B717" s="189" t="s">
        <v>111</v>
      </c>
      <c r="C717" s="203" t="n">
        <v>4</v>
      </c>
      <c r="D717" s="203"/>
      <c r="E717" s="191"/>
      <c r="F717" s="191"/>
      <c r="G717" s="217" t="n">
        <f aca="false">C717</f>
        <v>4</v>
      </c>
    </row>
    <row r="718" s="229" customFormat="true" ht="15" hidden="false" customHeight="false" outlineLevel="0" collapsed="false">
      <c r="A718" s="180"/>
      <c r="B718" s="189"/>
      <c r="C718" s="203"/>
      <c r="D718" s="203"/>
      <c r="E718" s="191"/>
      <c r="F718" s="191"/>
      <c r="G718" s="217"/>
    </row>
    <row r="719" s="229" customFormat="true" ht="15.75" hidden="false" customHeight="false" outlineLevel="0" collapsed="false">
      <c r="A719" s="180"/>
      <c r="B719" s="193" t="s">
        <v>108</v>
      </c>
      <c r="C719" s="193"/>
      <c r="D719" s="193"/>
      <c r="E719" s="193"/>
      <c r="F719" s="193"/>
      <c r="G719" s="194" t="n">
        <f aca="false">SUM(G717:G718)</f>
        <v>4</v>
      </c>
    </row>
    <row r="720" customFormat="false" ht="15" hidden="false" customHeight="false" outlineLevel="0" collapsed="false">
      <c r="A720" s="180"/>
      <c r="B720" s="195"/>
      <c r="C720" s="229"/>
      <c r="D720" s="229"/>
      <c r="E720" s="229"/>
      <c r="F720" s="229"/>
      <c r="G720" s="229"/>
      <c r="H720" s="229"/>
      <c r="I720" s="229"/>
      <c r="J720" s="229"/>
      <c r="L720" s="172"/>
    </row>
    <row r="721" s="172" customFormat="true" ht="15" hidden="false" customHeight="true" outlineLevel="0" collapsed="false">
      <c r="A721" s="298" t="s">
        <v>61</v>
      </c>
      <c r="B721" s="195" t="str">
        <f aca="false">'Composições '!C293</f>
        <v>Joelho 90 graus, pvc, serie r, água pluvial, dn 100 mm, junta elástica, fornecido e instalado em ramal de encaminhamento. </v>
      </c>
      <c r="C721" s="229"/>
      <c r="D721" s="229"/>
      <c r="E721" s="229"/>
      <c r="F721" s="229"/>
      <c r="G721" s="229"/>
      <c r="H721" s="229"/>
      <c r="I721" s="229"/>
      <c r="J721" s="229"/>
    </row>
    <row r="722" s="172" customFormat="true" ht="15.75" hidden="false" customHeight="false" outlineLevel="0" collapsed="false">
      <c r="A722" s="180"/>
      <c r="B722" s="195"/>
      <c r="C722" s="229"/>
      <c r="D722" s="229"/>
      <c r="E722" s="229"/>
      <c r="F722" s="229"/>
      <c r="G722" s="229"/>
      <c r="H722" s="229"/>
      <c r="I722" s="229"/>
      <c r="J722" s="229"/>
    </row>
    <row r="723" s="229" customFormat="true" ht="15" hidden="false" customHeight="false" outlineLevel="0" collapsed="false">
      <c r="A723" s="180"/>
      <c r="B723" s="185" t="s">
        <v>91</v>
      </c>
      <c r="C723" s="186" t="s">
        <v>109</v>
      </c>
      <c r="D723" s="186" t="s">
        <v>94</v>
      </c>
      <c r="E723" s="187" t="s">
        <v>110</v>
      </c>
      <c r="F723" s="187" t="s">
        <v>93</v>
      </c>
      <c r="G723" s="188" t="s">
        <v>194</v>
      </c>
    </row>
    <row r="724" s="229" customFormat="true" ht="15" hidden="false" customHeight="false" outlineLevel="0" collapsed="false">
      <c r="A724" s="180"/>
      <c r="B724" s="189" t="s">
        <v>111</v>
      </c>
      <c r="C724" s="203" t="n">
        <v>10</v>
      </c>
      <c r="D724" s="203"/>
      <c r="E724" s="191"/>
      <c r="F724" s="191"/>
      <c r="G724" s="217" t="n">
        <f aca="false">C724</f>
        <v>10</v>
      </c>
    </row>
    <row r="725" s="229" customFormat="true" ht="15" hidden="false" customHeight="false" outlineLevel="0" collapsed="false">
      <c r="A725" s="180"/>
      <c r="B725" s="189"/>
      <c r="C725" s="203"/>
      <c r="D725" s="203"/>
      <c r="E725" s="191"/>
      <c r="F725" s="191"/>
      <c r="G725" s="217"/>
    </row>
    <row r="726" s="229" customFormat="true" ht="15.75" hidden="false" customHeight="false" outlineLevel="0" collapsed="false">
      <c r="A726" s="180"/>
      <c r="B726" s="193" t="s">
        <v>108</v>
      </c>
      <c r="C726" s="193"/>
      <c r="D726" s="193"/>
      <c r="E726" s="193"/>
      <c r="F726" s="193"/>
      <c r="G726" s="194" t="n">
        <f aca="false">SUM(G724:G725)</f>
        <v>10</v>
      </c>
    </row>
    <row r="727" customFormat="false" ht="15" hidden="false" customHeight="false" outlineLevel="0" collapsed="false">
      <c r="A727" s="180"/>
      <c r="B727" s="195"/>
      <c r="C727" s="229"/>
      <c r="D727" s="229"/>
      <c r="E727" s="229"/>
      <c r="F727" s="229"/>
      <c r="G727" s="229"/>
      <c r="H727" s="229"/>
      <c r="I727" s="229"/>
      <c r="J727" s="229"/>
      <c r="L727" s="172"/>
    </row>
    <row r="728" s="172" customFormat="true" ht="15" hidden="false" customHeight="true" outlineLevel="0" collapsed="false">
      <c r="A728" s="298" t="s">
        <v>62</v>
      </c>
      <c r="B728" s="195" t="str">
        <f aca="false">'Composições '!C303</f>
        <v>Luva simples, pvc, serie r, água pluvial, dn 100 mm, junta elástica, fornecido e instalado em ramal de encaminhamento. </v>
      </c>
      <c r="C728" s="229"/>
      <c r="D728" s="229"/>
      <c r="E728" s="229"/>
      <c r="F728" s="229"/>
      <c r="G728" s="229"/>
      <c r="H728" s="229"/>
      <c r="I728" s="229"/>
      <c r="J728" s="229"/>
    </row>
    <row r="729" s="172" customFormat="true" ht="15.75" hidden="false" customHeight="false" outlineLevel="0" collapsed="false">
      <c r="A729" s="180"/>
      <c r="B729" s="195"/>
      <c r="C729" s="229"/>
      <c r="D729" s="229"/>
      <c r="E729" s="229"/>
      <c r="F729" s="229"/>
      <c r="G729" s="229"/>
      <c r="H729" s="229"/>
      <c r="I729" s="229"/>
      <c r="J729" s="229"/>
    </row>
    <row r="730" s="229" customFormat="true" ht="15" hidden="false" customHeight="false" outlineLevel="0" collapsed="false">
      <c r="A730" s="180"/>
      <c r="B730" s="185" t="s">
        <v>91</v>
      </c>
      <c r="C730" s="186" t="s">
        <v>109</v>
      </c>
      <c r="D730" s="186" t="s">
        <v>94</v>
      </c>
      <c r="E730" s="187" t="s">
        <v>110</v>
      </c>
      <c r="F730" s="187" t="s">
        <v>93</v>
      </c>
      <c r="G730" s="188" t="s">
        <v>194</v>
      </c>
    </row>
    <row r="731" s="229" customFormat="true" ht="15" hidden="false" customHeight="false" outlineLevel="0" collapsed="false">
      <c r="A731" s="180"/>
      <c r="B731" s="189" t="s">
        <v>111</v>
      </c>
      <c r="C731" s="203" t="n">
        <v>2</v>
      </c>
      <c r="D731" s="203"/>
      <c r="E731" s="191"/>
      <c r="F731" s="191"/>
      <c r="G731" s="217" t="n">
        <f aca="false">C731</f>
        <v>2</v>
      </c>
    </row>
    <row r="732" s="229" customFormat="true" ht="15" hidden="false" customHeight="false" outlineLevel="0" collapsed="false">
      <c r="A732" s="180"/>
      <c r="B732" s="189"/>
      <c r="C732" s="203"/>
      <c r="D732" s="203"/>
      <c r="E732" s="191"/>
      <c r="F732" s="191"/>
      <c r="G732" s="217"/>
    </row>
    <row r="733" s="229" customFormat="true" ht="15.75" hidden="false" customHeight="false" outlineLevel="0" collapsed="false">
      <c r="A733" s="180"/>
      <c r="B733" s="193" t="s">
        <v>108</v>
      </c>
      <c r="C733" s="193"/>
      <c r="D733" s="193"/>
      <c r="E733" s="193"/>
      <c r="F733" s="193"/>
      <c r="G733" s="194" t="n">
        <f aca="false">SUM(G731:G732)</f>
        <v>2</v>
      </c>
    </row>
    <row r="734" customFormat="false" ht="15" hidden="false" customHeight="false" outlineLevel="0" collapsed="false">
      <c r="A734" s="180"/>
      <c r="B734" s="218"/>
      <c r="C734" s="213"/>
      <c r="D734" s="213"/>
      <c r="E734" s="213"/>
      <c r="F734" s="213"/>
      <c r="G734" s="213"/>
      <c r="H734" s="229"/>
      <c r="I734" s="229"/>
      <c r="J734" s="229"/>
      <c r="L734" s="172"/>
    </row>
    <row r="735" s="172" customFormat="true" ht="15" hidden="false" customHeight="true" outlineLevel="0" collapsed="false">
      <c r="A735" s="298" t="s">
        <v>63</v>
      </c>
      <c r="B735" s="218" t="str">
        <f aca="false">'Composições '!C313</f>
        <v>Redução excêntrica, pvc, serie r, água pluvial, dn 150 x 100 mm, junta elástica, fornecido e instalado em condutores verticais de águas pluviais. </v>
      </c>
      <c r="C735" s="213"/>
      <c r="D735" s="213"/>
      <c r="E735" s="213"/>
      <c r="F735" s="213"/>
      <c r="G735" s="213"/>
      <c r="H735" s="229"/>
      <c r="I735" s="229"/>
      <c r="J735" s="229"/>
    </row>
    <row r="736" s="172" customFormat="true" ht="15.75" hidden="false" customHeight="false" outlineLevel="0" collapsed="false">
      <c r="A736" s="180"/>
      <c r="B736" s="218"/>
      <c r="C736" s="213"/>
      <c r="D736" s="213"/>
      <c r="E736" s="213"/>
      <c r="F736" s="213"/>
      <c r="G736" s="213"/>
      <c r="H736" s="229"/>
      <c r="I736" s="229"/>
      <c r="J736" s="229"/>
    </row>
    <row r="737" s="229" customFormat="true" ht="15" hidden="false" customHeight="false" outlineLevel="0" collapsed="false">
      <c r="A737" s="180"/>
      <c r="B737" s="185" t="s">
        <v>91</v>
      </c>
      <c r="C737" s="186" t="s">
        <v>109</v>
      </c>
      <c r="D737" s="186" t="s">
        <v>94</v>
      </c>
      <c r="E737" s="187" t="s">
        <v>110</v>
      </c>
      <c r="F737" s="187" t="s">
        <v>93</v>
      </c>
      <c r="G737" s="188" t="s">
        <v>194</v>
      </c>
    </row>
    <row r="738" s="229" customFormat="true" ht="15" hidden="false" customHeight="false" outlineLevel="0" collapsed="false">
      <c r="A738" s="180"/>
      <c r="B738" s="189" t="s">
        <v>111</v>
      </c>
      <c r="C738" s="203" t="n">
        <v>2</v>
      </c>
      <c r="D738" s="203"/>
      <c r="E738" s="191"/>
      <c r="F738" s="191"/>
      <c r="G738" s="217" t="n">
        <f aca="false">C738</f>
        <v>2</v>
      </c>
    </row>
    <row r="739" s="172" customFormat="true" ht="15" hidden="false" customHeight="false" outlineLevel="0" collapsed="false">
      <c r="A739" s="180"/>
      <c r="B739" s="189"/>
      <c r="C739" s="203"/>
      <c r="D739" s="203"/>
      <c r="E739" s="191"/>
      <c r="F739" s="191"/>
      <c r="G739" s="217"/>
      <c r="H739" s="229"/>
      <c r="I739" s="229"/>
      <c r="J739" s="229"/>
    </row>
    <row r="740" customFormat="false" ht="15.75" hidden="false" customHeight="false" outlineLevel="0" collapsed="false">
      <c r="A740" s="180"/>
      <c r="B740" s="193" t="s">
        <v>108</v>
      </c>
      <c r="C740" s="193"/>
      <c r="D740" s="193"/>
      <c r="E740" s="193"/>
      <c r="F740" s="193"/>
      <c r="G740" s="194" t="n">
        <f aca="false">SUM(G738:G739)</f>
        <v>2</v>
      </c>
      <c r="H740" s="229"/>
      <c r="I740" s="229"/>
      <c r="J740" s="229"/>
      <c r="L740" s="172"/>
    </row>
    <row r="741" customFormat="false" ht="15" hidden="false" customHeight="false" outlineLevel="0" collapsed="false">
      <c r="A741" s="180"/>
      <c r="B741" s="195"/>
      <c r="C741" s="229"/>
      <c r="D741" s="229"/>
      <c r="E741" s="229"/>
      <c r="F741" s="229"/>
      <c r="G741" s="229"/>
      <c r="H741" s="229"/>
      <c r="I741" s="229"/>
      <c r="J741" s="229"/>
      <c r="L741" s="172"/>
    </row>
    <row r="742" s="172" customFormat="true" ht="15" hidden="false" customHeight="true" outlineLevel="0" collapsed="false">
      <c r="A742" s="298" t="s">
        <v>64</v>
      </c>
      <c r="B742" s="195" t="str">
        <f aca="false">'Composições '!C323</f>
        <v>Tubo pvc, série r, água pluvial, dn 100 mm, fornecido e instalado em ramal de encaminhamento.</v>
      </c>
      <c r="C742" s="229"/>
      <c r="D742" s="229"/>
      <c r="E742" s="229"/>
      <c r="F742" s="229"/>
      <c r="G742" s="229"/>
      <c r="H742" s="229"/>
      <c r="I742" s="229"/>
      <c r="J742" s="229"/>
    </row>
    <row r="743" s="172" customFormat="true" ht="15.75" hidden="false" customHeight="false" outlineLevel="0" collapsed="false">
      <c r="A743" s="180"/>
      <c r="B743" s="195"/>
      <c r="C743" s="229"/>
      <c r="D743" s="229"/>
      <c r="E743" s="213"/>
      <c r="F743" s="213"/>
      <c r="H743" s="229"/>
      <c r="I743" s="229"/>
      <c r="J743" s="229"/>
    </row>
    <row r="744" s="229" customFormat="true" ht="15" hidden="false" customHeight="false" outlineLevel="0" collapsed="false">
      <c r="A744" s="180"/>
      <c r="B744" s="185" t="s">
        <v>91</v>
      </c>
      <c r="C744" s="215" t="s">
        <v>109</v>
      </c>
      <c r="D744" s="215" t="s">
        <v>94</v>
      </c>
      <c r="E744" s="187" t="s">
        <v>110</v>
      </c>
      <c r="F744" s="187" t="s">
        <v>93</v>
      </c>
      <c r="G744" s="236" t="s">
        <v>164</v>
      </c>
    </row>
    <row r="745" s="229" customFormat="true" ht="15" hidden="false" customHeight="false" outlineLevel="0" collapsed="false">
      <c r="A745" s="180"/>
      <c r="B745" s="189" t="s">
        <v>111</v>
      </c>
      <c r="C745" s="203"/>
      <c r="D745" s="203" t="n">
        <v>35</v>
      </c>
      <c r="E745" s="191"/>
      <c r="F745" s="191"/>
      <c r="G745" s="240" t="n">
        <f aca="false">D745</f>
        <v>35</v>
      </c>
    </row>
    <row r="746" s="172" customFormat="true" ht="15.75" hidden="false" customHeight="false" outlineLevel="0" collapsed="false">
      <c r="A746" s="180"/>
      <c r="B746" s="193" t="s">
        <v>175</v>
      </c>
      <c r="C746" s="193"/>
      <c r="D746" s="193"/>
      <c r="E746" s="193"/>
      <c r="F746" s="193"/>
      <c r="G746" s="194" t="n">
        <f aca="false">SUM(G745:G745)</f>
        <v>35</v>
      </c>
      <c r="H746" s="229"/>
      <c r="I746" s="229"/>
      <c r="J746" s="229"/>
    </row>
    <row r="747" customFormat="false" ht="15" hidden="false" customHeight="false" outlineLevel="0" collapsed="false">
      <c r="A747" s="180"/>
      <c r="B747" s="218"/>
      <c r="C747" s="213"/>
      <c r="D747" s="213"/>
      <c r="E747" s="213"/>
      <c r="F747" s="172"/>
      <c r="G747" s="172"/>
      <c r="H747" s="210"/>
      <c r="I747" s="210"/>
      <c r="L747" s="172"/>
    </row>
    <row r="748" customFormat="false" ht="15" hidden="false" customHeight="false" outlineLevel="0" collapsed="false">
      <c r="A748" s="296" t="n">
        <v>4</v>
      </c>
      <c r="B748" s="299" t="s">
        <v>66</v>
      </c>
      <c r="C748" s="213"/>
      <c r="D748" s="213"/>
      <c r="E748" s="213"/>
      <c r="F748" s="196"/>
      <c r="H748" s="229"/>
    </row>
    <row r="749" customFormat="false" ht="15" hidden="false" customHeight="false" outlineLevel="0" collapsed="false">
      <c r="A749" s="180"/>
      <c r="B749" s="218"/>
      <c r="C749" s="213"/>
      <c r="D749" s="213"/>
      <c r="E749" s="213"/>
      <c r="F749" s="196"/>
      <c r="H749" s="229"/>
    </row>
    <row r="750" customFormat="false" ht="15" hidden="false" customHeight="false" outlineLevel="0" collapsed="false">
      <c r="A750" s="180" t="s">
        <v>67</v>
      </c>
      <c r="B750" s="218" t="str">
        <f aca="false">'Composições '!C334</f>
        <v>Pintura de impermeabilização com aditivo cristalizante, uma demão, PENETRON ou similar.</v>
      </c>
      <c r="C750" s="213"/>
      <c r="D750" s="213"/>
      <c r="E750" s="213"/>
      <c r="F750" s="196"/>
      <c r="H750" s="210"/>
    </row>
    <row r="751" customFormat="false" ht="15.75" hidden="false" customHeight="false" outlineLevel="0" collapsed="false">
      <c r="A751" s="180"/>
      <c r="B751" s="218"/>
      <c r="C751" s="213"/>
      <c r="D751" s="213"/>
      <c r="E751" s="213"/>
      <c r="F751" s="246"/>
      <c r="H751" s="210"/>
    </row>
    <row r="752" s="229" customFormat="true" ht="15" hidden="false" customHeight="false" outlineLevel="0" collapsed="false">
      <c r="A752" s="180"/>
      <c r="B752" s="185" t="s">
        <v>91</v>
      </c>
      <c r="C752" s="215" t="s">
        <v>109</v>
      </c>
      <c r="D752" s="215" t="s">
        <v>94</v>
      </c>
      <c r="E752" s="187" t="s">
        <v>110</v>
      </c>
      <c r="F752" s="187" t="s">
        <v>93</v>
      </c>
      <c r="G752" s="236" t="s">
        <v>176</v>
      </c>
      <c r="H752" s="210"/>
    </row>
    <row r="753" s="229" customFormat="true" ht="15" hidden="false" customHeight="false" outlineLevel="0" collapsed="false">
      <c r="A753" s="180"/>
      <c r="B753" s="228" t="s">
        <v>145</v>
      </c>
      <c r="C753" s="228"/>
      <c r="D753" s="228"/>
      <c r="E753" s="228"/>
      <c r="F753" s="228"/>
      <c r="G753" s="228"/>
      <c r="H753" s="210"/>
    </row>
    <row r="754" s="210" customFormat="true" ht="15" hidden="false" customHeight="false" outlineLevel="0" collapsed="false">
      <c r="A754" s="180"/>
      <c r="B754" s="216" t="s">
        <v>153</v>
      </c>
      <c r="C754" s="199" t="n">
        <v>8</v>
      </c>
      <c r="D754" s="199" t="n">
        <v>5.73</v>
      </c>
      <c r="E754" s="200" t="n">
        <v>0.1</v>
      </c>
      <c r="F754" s="200"/>
      <c r="G754" s="192" t="n">
        <f aca="false">C754*D754*E754</f>
        <v>4.584</v>
      </c>
      <c r="H754" s="172"/>
      <c r="I754" s="172"/>
    </row>
    <row r="755" s="210" customFormat="true" ht="15" hidden="false" customHeight="false" outlineLevel="0" collapsed="false">
      <c r="A755" s="180"/>
      <c r="B755" s="216"/>
      <c r="C755" s="199" t="n">
        <v>1</v>
      </c>
      <c r="D755" s="199" t="n">
        <v>5.73</v>
      </c>
      <c r="E755" s="200" t="n">
        <v>0.18</v>
      </c>
      <c r="F755" s="200"/>
      <c r="G755" s="192" t="n">
        <f aca="false">C755*D755*E755</f>
        <v>1.0314</v>
      </c>
      <c r="H755" s="172"/>
      <c r="I755" s="172"/>
    </row>
    <row r="756" s="210" customFormat="true" ht="15" hidden="false" customHeight="false" outlineLevel="0" collapsed="false">
      <c r="A756" s="180"/>
      <c r="B756" s="216"/>
      <c r="C756" s="199" t="n">
        <f aca="false">9*9</f>
        <v>81</v>
      </c>
      <c r="D756" s="199" t="n">
        <v>0.5</v>
      </c>
      <c r="E756" s="200" t="n">
        <v>0.1</v>
      </c>
      <c r="F756" s="200"/>
      <c r="G756" s="192" t="n">
        <f aca="false">C756*D756*E756</f>
        <v>4.05</v>
      </c>
      <c r="H756" s="172"/>
      <c r="I756" s="172"/>
    </row>
    <row r="757" s="210" customFormat="true" ht="15" hidden="false" customHeight="false" outlineLevel="0" collapsed="false">
      <c r="A757" s="180"/>
      <c r="B757" s="216" t="s">
        <v>154</v>
      </c>
      <c r="C757" s="199" t="n">
        <v>8</v>
      </c>
      <c r="D757" s="199" t="n">
        <v>5.73</v>
      </c>
      <c r="E757" s="200" t="n">
        <v>0.1</v>
      </c>
      <c r="F757" s="200"/>
      <c r="G757" s="192" t="n">
        <f aca="false">C757*D757*E757</f>
        <v>4.584</v>
      </c>
      <c r="H757" s="172"/>
      <c r="I757" s="172"/>
    </row>
    <row r="758" s="210" customFormat="true" ht="15" hidden="false" customHeight="false" outlineLevel="0" collapsed="false">
      <c r="A758" s="180"/>
      <c r="B758" s="216"/>
      <c r="C758" s="199" t="n">
        <v>1</v>
      </c>
      <c r="D758" s="199" t="n">
        <v>5.73</v>
      </c>
      <c r="E758" s="200" t="n">
        <v>0.16</v>
      </c>
      <c r="F758" s="200"/>
      <c r="G758" s="192" t="n">
        <f aca="false">C758*D758*E758</f>
        <v>0.9168</v>
      </c>
      <c r="H758" s="172"/>
      <c r="I758" s="172"/>
    </row>
    <row r="759" s="210" customFormat="true" ht="15" hidden="false" customHeight="false" outlineLevel="0" collapsed="false">
      <c r="A759" s="180"/>
      <c r="B759" s="216"/>
      <c r="C759" s="199" t="n">
        <f aca="false">9*9</f>
        <v>81</v>
      </c>
      <c r="D759" s="199" t="n">
        <v>0.5</v>
      </c>
      <c r="E759" s="200" t="n">
        <v>0.1</v>
      </c>
      <c r="F759" s="200"/>
      <c r="G759" s="192" t="n">
        <f aca="false">C759*D759*E759</f>
        <v>4.05</v>
      </c>
      <c r="H759" s="172"/>
      <c r="I759" s="172"/>
    </row>
    <row r="760" s="210" customFormat="true" ht="15" hidden="false" customHeight="false" outlineLevel="0" collapsed="false">
      <c r="A760" s="180"/>
      <c r="B760" s="216" t="s">
        <v>155</v>
      </c>
      <c r="C760" s="199" t="n">
        <v>9</v>
      </c>
      <c r="D760" s="199" t="n">
        <v>5.73</v>
      </c>
      <c r="E760" s="200" t="n">
        <v>0.1</v>
      </c>
      <c r="F760" s="200"/>
      <c r="G760" s="192" t="n">
        <f aca="false">C760*D760*E760</f>
        <v>5.157</v>
      </c>
      <c r="H760" s="226"/>
      <c r="I760" s="211"/>
    </row>
    <row r="761" s="210" customFormat="true" ht="15" hidden="false" customHeight="false" outlineLevel="0" collapsed="false">
      <c r="A761" s="180"/>
      <c r="B761" s="216"/>
      <c r="C761" s="199" t="n">
        <f aca="false">8*9</f>
        <v>72</v>
      </c>
      <c r="D761" s="199" t="n">
        <v>0.5</v>
      </c>
      <c r="E761" s="200" t="n">
        <v>0.1</v>
      </c>
      <c r="F761" s="200"/>
      <c r="G761" s="192" t="n">
        <f aca="false">C761*D761*E761</f>
        <v>3.6</v>
      </c>
      <c r="H761" s="226"/>
      <c r="I761" s="211"/>
    </row>
    <row r="762" s="210" customFormat="true" ht="15" hidden="false" customHeight="false" outlineLevel="0" collapsed="false">
      <c r="A762" s="180"/>
      <c r="B762" s="216"/>
      <c r="C762" s="199" t="n">
        <f aca="false">2*9</f>
        <v>18</v>
      </c>
      <c r="D762" s="199" t="n">
        <v>0.48</v>
      </c>
      <c r="E762" s="200" t="n">
        <v>0.1</v>
      </c>
      <c r="F762" s="200"/>
      <c r="G762" s="192" t="n">
        <f aca="false">C762*D762*E762</f>
        <v>0.864</v>
      </c>
      <c r="H762" s="226"/>
      <c r="I762" s="211"/>
    </row>
    <row r="763" s="210" customFormat="true" ht="15" hidden="false" customHeight="false" outlineLevel="0" collapsed="false">
      <c r="A763" s="180"/>
      <c r="B763" s="216" t="s">
        <v>156</v>
      </c>
      <c r="C763" s="199" t="n">
        <v>8</v>
      </c>
      <c r="D763" s="199" t="n">
        <v>5.48</v>
      </c>
      <c r="E763" s="200" t="n">
        <v>0.1</v>
      </c>
      <c r="F763" s="200"/>
      <c r="G763" s="192" t="n">
        <f aca="false">C763*D763*E763</f>
        <v>4.384</v>
      </c>
      <c r="H763" s="226"/>
      <c r="I763" s="211"/>
    </row>
    <row r="764" s="210" customFormat="true" ht="15" hidden="false" customHeight="false" outlineLevel="0" collapsed="false">
      <c r="A764" s="180"/>
      <c r="B764" s="216"/>
      <c r="C764" s="199" t="n">
        <v>1</v>
      </c>
      <c r="D764" s="199" t="n">
        <v>5.48</v>
      </c>
      <c r="E764" s="200" t="n">
        <v>0.18</v>
      </c>
      <c r="F764" s="200"/>
      <c r="G764" s="192" t="n">
        <f aca="false">C764*D764*E764</f>
        <v>0.9864</v>
      </c>
      <c r="H764" s="226"/>
      <c r="I764" s="211"/>
    </row>
    <row r="765" s="210" customFormat="true" ht="15" hidden="false" customHeight="false" outlineLevel="0" collapsed="false">
      <c r="A765" s="180"/>
      <c r="B765" s="216"/>
      <c r="C765" s="199" t="n">
        <f aca="false">8*9</f>
        <v>72</v>
      </c>
      <c r="D765" s="199" t="n">
        <v>0.5</v>
      </c>
      <c r="E765" s="200" t="n">
        <v>0.1</v>
      </c>
      <c r="F765" s="200"/>
      <c r="G765" s="192" t="n">
        <f aca="false">C765*D765*E765</f>
        <v>3.6</v>
      </c>
      <c r="H765" s="226"/>
      <c r="I765" s="211"/>
    </row>
    <row r="766" s="210" customFormat="true" ht="15" hidden="false" customHeight="false" outlineLevel="0" collapsed="false">
      <c r="A766" s="180"/>
      <c r="B766" s="216"/>
      <c r="C766" s="199" t="n">
        <f aca="false">1*9</f>
        <v>9</v>
      </c>
      <c r="D766" s="199" t="n">
        <v>0.5</v>
      </c>
      <c r="E766" s="200" t="n">
        <v>0.18</v>
      </c>
      <c r="F766" s="200"/>
      <c r="G766" s="192" t="n">
        <f aca="false">C766*D766*E766</f>
        <v>0.81</v>
      </c>
      <c r="H766" s="226"/>
      <c r="I766" s="211"/>
    </row>
    <row r="767" s="210" customFormat="true" ht="15" hidden="false" customHeight="false" outlineLevel="0" collapsed="false">
      <c r="A767" s="180"/>
      <c r="B767" s="216" t="s">
        <v>157</v>
      </c>
      <c r="C767" s="203" t="n">
        <v>8</v>
      </c>
      <c r="D767" s="203" t="n">
        <v>5.48</v>
      </c>
      <c r="E767" s="191" t="n">
        <v>0.1</v>
      </c>
      <c r="F767" s="191"/>
      <c r="G767" s="192" t="n">
        <f aca="false">C767*D767*E767</f>
        <v>4.384</v>
      </c>
      <c r="H767" s="172"/>
      <c r="I767" s="172"/>
    </row>
    <row r="768" s="210" customFormat="true" ht="15" hidden="false" customHeight="false" outlineLevel="0" collapsed="false">
      <c r="A768" s="180"/>
      <c r="B768" s="216"/>
      <c r="C768" s="203" t="n">
        <v>1</v>
      </c>
      <c r="D768" s="203" t="n">
        <v>5.48</v>
      </c>
      <c r="E768" s="191" t="n">
        <v>0.16</v>
      </c>
      <c r="F768" s="212"/>
      <c r="G768" s="192" t="n">
        <f aca="false">C768*D768*E768</f>
        <v>0.8768</v>
      </c>
      <c r="H768" s="172"/>
      <c r="I768" s="172"/>
    </row>
    <row r="769" s="210" customFormat="true" ht="15" hidden="false" customHeight="false" outlineLevel="0" collapsed="false">
      <c r="A769" s="180"/>
      <c r="B769" s="216"/>
      <c r="C769" s="203" t="n">
        <f aca="false">8*9</f>
        <v>72</v>
      </c>
      <c r="D769" s="203" t="n">
        <v>0.5</v>
      </c>
      <c r="E769" s="191" t="n">
        <v>0.1</v>
      </c>
      <c r="F769" s="212"/>
      <c r="G769" s="192" t="n">
        <f aca="false">C769*D769*E769</f>
        <v>3.6</v>
      </c>
      <c r="H769" s="172"/>
      <c r="I769" s="172"/>
    </row>
    <row r="770" s="210" customFormat="true" ht="15" hidden="false" customHeight="false" outlineLevel="0" collapsed="false">
      <c r="A770" s="180"/>
      <c r="B770" s="216"/>
      <c r="C770" s="203" t="n">
        <f aca="false">1*9</f>
        <v>9</v>
      </c>
      <c r="D770" s="203" t="n">
        <v>0.5</v>
      </c>
      <c r="E770" s="191" t="n">
        <v>0.18</v>
      </c>
      <c r="F770" s="212"/>
      <c r="G770" s="192" t="n">
        <f aca="false">C770*D770*E770</f>
        <v>0.81</v>
      </c>
      <c r="H770" s="172"/>
      <c r="I770" s="172"/>
    </row>
    <row r="771" s="210" customFormat="true" ht="15" hidden="false" customHeight="false" outlineLevel="0" collapsed="false">
      <c r="A771" s="180"/>
      <c r="B771" s="216" t="s">
        <v>158</v>
      </c>
      <c r="C771" s="203" t="n">
        <v>9</v>
      </c>
      <c r="D771" s="203" t="n">
        <v>5.48</v>
      </c>
      <c r="E771" s="191" t="n">
        <v>0.1</v>
      </c>
      <c r="F771" s="212"/>
      <c r="G771" s="192" t="n">
        <f aca="false">C771*D771*E771</f>
        <v>4.932</v>
      </c>
      <c r="H771" s="172"/>
      <c r="I771" s="172"/>
    </row>
    <row r="772" s="210" customFormat="true" ht="15" hidden="false" customHeight="false" outlineLevel="0" collapsed="false">
      <c r="A772" s="180"/>
      <c r="B772" s="216"/>
      <c r="C772" s="203" t="n">
        <f aca="false">8*8</f>
        <v>64</v>
      </c>
      <c r="D772" s="203" t="n">
        <v>0.5</v>
      </c>
      <c r="E772" s="191" t="n">
        <v>0.1</v>
      </c>
      <c r="F772" s="212"/>
      <c r="G772" s="192" t="n">
        <f aca="false">C772*D772*E772</f>
        <v>3.2</v>
      </c>
      <c r="H772" s="172"/>
      <c r="I772" s="172"/>
    </row>
    <row r="773" s="210" customFormat="true" ht="15" hidden="false" customHeight="false" outlineLevel="0" collapsed="false">
      <c r="A773" s="180"/>
      <c r="B773" s="216"/>
      <c r="C773" s="203" t="n">
        <f aca="false">2*8</f>
        <v>16</v>
      </c>
      <c r="D773" s="203" t="n">
        <v>0.48</v>
      </c>
      <c r="E773" s="191" t="n">
        <v>0.1</v>
      </c>
      <c r="F773" s="212"/>
      <c r="G773" s="192" t="n">
        <f aca="false">C773*D773*E773</f>
        <v>0.768</v>
      </c>
      <c r="H773" s="172"/>
      <c r="I773" s="172"/>
    </row>
    <row r="774" s="210" customFormat="true" ht="15" hidden="false" customHeight="false" outlineLevel="0" collapsed="false">
      <c r="A774" s="180"/>
      <c r="B774" s="216"/>
      <c r="C774" s="203" t="n">
        <v>8</v>
      </c>
      <c r="D774" s="203" t="n">
        <v>0.5</v>
      </c>
      <c r="E774" s="191" t="n">
        <v>0.18</v>
      </c>
      <c r="F774" s="191"/>
      <c r="G774" s="192" t="n">
        <f aca="false">C774*D774*E774</f>
        <v>0.72</v>
      </c>
      <c r="H774" s="172"/>
      <c r="I774" s="172"/>
    </row>
    <row r="775" s="210" customFormat="true" ht="15" hidden="false" customHeight="false" outlineLevel="0" collapsed="false">
      <c r="A775" s="180"/>
      <c r="B775" s="216"/>
      <c r="C775" s="203" t="n">
        <v>2</v>
      </c>
      <c r="D775" s="203" t="n">
        <v>0.48</v>
      </c>
      <c r="E775" s="191" t="n">
        <v>0.18</v>
      </c>
      <c r="F775" s="205"/>
      <c r="G775" s="192" t="n">
        <f aca="false">C775*D775*E775</f>
        <v>0.1728</v>
      </c>
      <c r="H775" s="172"/>
      <c r="I775" s="172"/>
    </row>
    <row r="776" s="210" customFormat="true" ht="15" hidden="false" customHeight="false" outlineLevel="0" collapsed="false">
      <c r="A776" s="180"/>
      <c r="B776" s="216" t="s">
        <v>159</v>
      </c>
      <c r="C776" s="203" t="n">
        <v>4</v>
      </c>
      <c r="D776" s="203" t="n">
        <v>6.5</v>
      </c>
      <c r="E776" s="191" t="n">
        <v>0.1</v>
      </c>
      <c r="F776" s="205"/>
      <c r="G776" s="192" t="n">
        <f aca="false">C776*D776*E776</f>
        <v>2.6</v>
      </c>
      <c r="H776" s="172"/>
      <c r="I776" s="172"/>
    </row>
    <row r="777" s="210" customFormat="true" ht="15" hidden="false" customHeight="false" outlineLevel="0" collapsed="false">
      <c r="A777" s="180"/>
      <c r="B777" s="216"/>
      <c r="C777" s="203" t="n">
        <f aca="false">5*10</f>
        <v>50</v>
      </c>
      <c r="D777" s="203" t="n">
        <v>0.5</v>
      </c>
      <c r="E777" s="191" t="n">
        <v>0.1</v>
      </c>
      <c r="F777" s="205"/>
      <c r="G777" s="192" t="n">
        <f aca="false">C777*D777*E777</f>
        <v>2.5</v>
      </c>
      <c r="H777" s="172"/>
      <c r="I777" s="172"/>
    </row>
    <row r="778" s="210" customFormat="true" ht="15" hidden="false" customHeight="false" outlineLevel="0" collapsed="false">
      <c r="A778" s="180"/>
      <c r="B778" s="216" t="s">
        <v>160</v>
      </c>
      <c r="C778" s="203" t="n">
        <v>2</v>
      </c>
      <c r="D778" s="203" t="n">
        <v>1.5</v>
      </c>
      <c r="E778" s="191" t="n">
        <v>0.1</v>
      </c>
      <c r="F778" s="191"/>
      <c r="G778" s="192" t="n">
        <f aca="false">C778*D778*E778</f>
        <v>0.3</v>
      </c>
      <c r="H778" s="172"/>
      <c r="I778" s="172"/>
    </row>
    <row r="779" s="210" customFormat="true" ht="15" hidden="false" customHeight="false" outlineLevel="0" collapsed="false">
      <c r="A779" s="180"/>
      <c r="B779" s="216"/>
      <c r="C779" s="203" t="n">
        <f aca="false">2*2</f>
        <v>4</v>
      </c>
      <c r="D779" s="203" t="n">
        <v>0.5</v>
      </c>
      <c r="E779" s="191" t="n">
        <v>0.1</v>
      </c>
      <c r="F779" s="212"/>
      <c r="G779" s="192" t="n">
        <f aca="false">C779*D779*E779</f>
        <v>0.2</v>
      </c>
      <c r="H779" s="172"/>
      <c r="I779" s="172"/>
    </row>
    <row r="780" s="210" customFormat="true" ht="15" hidden="false" customHeight="false" outlineLevel="0" collapsed="false">
      <c r="A780" s="180"/>
      <c r="B780" s="216"/>
      <c r="C780" s="203" t="n">
        <f aca="false">1*2</f>
        <v>2</v>
      </c>
      <c r="D780" s="203" t="n">
        <v>0.3</v>
      </c>
      <c r="E780" s="191" t="n">
        <v>0.1</v>
      </c>
      <c r="F780" s="191"/>
      <c r="G780" s="192" t="n">
        <f aca="false">C780*D780*E780</f>
        <v>0.06</v>
      </c>
      <c r="H780" s="172"/>
      <c r="I780" s="172"/>
    </row>
    <row r="781" s="210" customFormat="true" ht="15" hidden="false" customHeight="false" outlineLevel="0" collapsed="false">
      <c r="A781" s="180"/>
      <c r="B781" s="216" t="s">
        <v>146</v>
      </c>
      <c r="C781" s="199" t="n">
        <f aca="false">90-9</f>
        <v>81</v>
      </c>
      <c r="D781" s="199" t="n">
        <v>0.5</v>
      </c>
      <c r="E781" s="200" t="n">
        <v>0.5</v>
      </c>
      <c r="F781" s="230" t="n">
        <v>0.185</v>
      </c>
      <c r="G781" s="192" t="n">
        <f aca="false">((D781+E781)*2*F781*C781)+(C781*D781*E781)</f>
        <v>50.22</v>
      </c>
      <c r="H781" s="226"/>
      <c r="I781" s="211"/>
    </row>
    <row r="782" s="210" customFormat="true" ht="15" hidden="false" customHeight="false" outlineLevel="0" collapsed="false">
      <c r="A782" s="180"/>
      <c r="B782" s="216"/>
      <c r="C782" s="199" t="n">
        <v>9</v>
      </c>
      <c r="D782" s="199" t="n">
        <v>0.33</v>
      </c>
      <c r="E782" s="200" t="n">
        <v>0.5</v>
      </c>
      <c r="F782" s="230" t="n">
        <v>0.185</v>
      </c>
      <c r="G782" s="192" t="n">
        <f aca="false">(((D782+E782)*2)*F782*C782)+(C782*D782*E782)</f>
        <v>4.2489</v>
      </c>
      <c r="H782" s="226"/>
      <c r="I782" s="211"/>
    </row>
    <row r="783" s="210" customFormat="true" ht="15" hidden="false" customHeight="false" outlineLevel="0" collapsed="false">
      <c r="A783" s="180"/>
      <c r="B783" s="216" t="s">
        <v>147</v>
      </c>
      <c r="C783" s="199" t="n">
        <f aca="false">90-9</f>
        <v>81</v>
      </c>
      <c r="D783" s="199" t="n">
        <v>0.5</v>
      </c>
      <c r="E783" s="200" t="n">
        <v>0.5</v>
      </c>
      <c r="F783" s="230" t="n">
        <v>0.185</v>
      </c>
      <c r="G783" s="192" t="n">
        <f aca="false">(((D783+E783)*2)*F783*C783)+(C783*D783*E783)</f>
        <v>50.22</v>
      </c>
      <c r="H783" s="226"/>
      <c r="I783" s="211"/>
    </row>
    <row r="784" s="210" customFormat="true" ht="15" hidden="false" customHeight="false" outlineLevel="0" collapsed="false">
      <c r="A784" s="180"/>
      <c r="B784" s="216"/>
      <c r="C784" s="199" t="n">
        <v>9</v>
      </c>
      <c r="D784" s="199" t="n">
        <v>0.33</v>
      </c>
      <c r="E784" s="200" t="n">
        <v>0.5</v>
      </c>
      <c r="F784" s="230" t="n">
        <v>0.185</v>
      </c>
      <c r="G784" s="192" t="n">
        <f aca="false">(((D784+E784)*2)*F784*C784)+(C784*D784*E784)</f>
        <v>4.2489</v>
      </c>
      <c r="H784" s="226"/>
      <c r="I784" s="211"/>
    </row>
    <row r="785" s="210" customFormat="true" ht="15" hidden="false" customHeight="false" outlineLevel="0" collapsed="false">
      <c r="A785" s="180"/>
      <c r="B785" s="216" t="s">
        <v>148</v>
      </c>
      <c r="C785" s="199" t="n">
        <v>90</v>
      </c>
      <c r="D785" s="199" t="n">
        <v>0.5</v>
      </c>
      <c r="E785" s="200" t="n">
        <v>0.5</v>
      </c>
      <c r="F785" s="230" t="n">
        <v>0.185</v>
      </c>
      <c r="G785" s="192" t="n">
        <f aca="false">(((D785+E785)*2)*F785*C785)+(C785*D785*E785)</f>
        <v>55.8</v>
      </c>
      <c r="H785" s="226"/>
      <c r="I785" s="211"/>
    </row>
    <row r="786" s="210" customFormat="true" ht="15" hidden="false" customHeight="false" outlineLevel="0" collapsed="false">
      <c r="A786" s="180"/>
      <c r="B786" s="216"/>
      <c r="C786" s="199" t="n">
        <v>10</v>
      </c>
      <c r="D786" s="199" t="n">
        <v>0.33</v>
      </c>
      <c r="E786" s="200" t="n">
        <v>0.5</v>
      </c>
      <c r="F786" s="230" t="n">
        <v>0.185</v>
      </c>
      <c r="G786" s="192" t="n">
        <f aca="false">((D786+E786)*2)*F786*C786</f>
        <v>3.071</v>
      </c>
      <c r="H786" s="226"/>
      <c r="I786" s="211"/>
    </row>
    <row r="787" s="210" customFormat="true" ht="15" hidden="false" customHeight="false" outlineLevel="0" collapsed="false">
      <c r="A787" s="180"/>
      <c r="B787" s="216" t="s">
        <v>149</v>
      </c>
      <c r="C787" s="199" t="n">
        <v>81</v>
      </c>
      <c r="D787" s="199" t="n">
        <v>0.5</v>
      </c>
      <c r="E787" s="200" t="n">
        <v>0.5</v>
      </c>
      <c r="F787" s="230" t="n">
        <v>0.185</v>
      </c>
      <c r="G787" s="192" t="n">
        <f aca="false">(((D787+E787)*2)*F787*C787)+(C787*D787*E787)</f>
        <v>50.22</v>
      </c>
      <c r="H787" s="226"/>
      <c r="I787" s="211"/>
    </row>
    <row r="788" s="210" customFormat="true" ht="15" hidden="false" customHeight="false" outlineLevel="0" collapsed="false">
      <c r="A788" s="180"/>
      <c r="B788" s="189" t="s">
        <v>150</v>
      </c>
      <c r="C788" s="199" t="n">
        <v>90</v>
      </c>
      <c r="D788" s="199" t="n">
        <v>0.5</v>
      </c>
      <c r="E788" s="200" t="n">
        <v>0.5</v>
      </c>
      <c r="F788" s="230" t="n">
        <v>0.185</v>
      </c>
      <c r="G788" s="192" t="n">
        <f aca="false">(((D788+E788)*2)*F788*C788)+(C788*D788*E788)</f>
        <v>55.8</v>
      </c>
      <c r="H788" s="226"/>
      <c r="I788" s="211"/>
    </row>
    <row r="789" s="210" customFormat="true" ht="15" hidden="false" customHeight="false" outlineLevel="0" collapsed="false">
      <c r="A789" s="180"/>
      <c r="B789" s="216" t="s">
        <v>151</v>
      </c>
      <c r="C789" s="199" t="n">
        <v>90</v>
      </c>
      <c r="D789" s="199" t="n">
        <v>0.5</v>
      </c>
      <c r="E789" s="200" t="n">
        <v>0.5</v>
      </c>
      <c r="F789" s="230" t="n">
        <v>0.185</v>
      </c>
      <c r="G789" s="192" t="n">
        <f aca="false">(((D789+E789)*2)*F789*C789)+(C789*D789*E789)</f>
        <v>55.8</v>
      </c>
      <c r="H789" s="226"/>
      <c r="I789" s="211"/>
    </row>
    <row r="790" s="210" customFormat="true" ht="15" hidden="false" customHeight="false" outlineLevel="0" collapsed="false">
      <c r="A790" s="180"/>
      <c r="B790" s="216"/>
      <c r="C790" s="199" t="n">
        <v>10</v>
      </c>
      <c r="D790" s="199" t="n">
        <v>0.5</v>
      </c>
      <c r="E790" s="200" t="n">
        <v>0.48</v>
      </c>
      <c r="F790" s="230" t="n">
        <v>0.185</v>
      </c>
      <c r="G790" s="192" t="n">
        <f aca="false">(((D790+E790)*2)*F790*C790)+(C790*D790*E790)</f>
        <v>6.026</v>
      </c>
      <c r="H790" s="226"/>
      <c r="I790" s="211"/>
    </row>
    <row r="791" s="210" customFormat="true" ht="15" hidden="false" customHeight="false" outlineLevel="0" collapsed="false">
      <c r="A791" s="180"/>
      <c r="B791" s="202" t="s">
        <v>152</v>
      </c>
      <c r="C791" s="203" t="n">
        <v>59</v>
      </c>
      <c r="D791" s="199" t="n">
        <v>0.5</v>
      </c>
      <c r="E791" s="231" t="n">
        <v>0.5</v>
      </c>
      <c r="F791" s="232" t="n">
        <v>0.185</v>
      </c>
      <c r="G791" s="192" t="n">
        <f aca="false">(((D791+E791)*2)*F791*C791)+(C791*D791*E791)</f>
        <v>36.58</v>
      </c>
      <c r="I791" s="211"/>
    </row>
    <row r="792" s="210" customFormat="true" ht="15" hidden="false" customHeight="false" outlineLevel="0" collapsed="false">
      <c r="A792" s="180"/>
      <c r="B792" s="202"/>
      <c r="C792" s="203" t="n">
        <v>5</v>
      </c>
      <c r="D792" s="203" t="n">
        <v>0.3</v>
      </c>
      <c r="E792" s="231" t="n">
        <v>0.5</v>
      </c>
      <c r="F792" s="232" t="n">
        <v>0.185</v>
      </c>
      <c r="G792" s="192" t="n">
        <f aca="false">(((D792+E792)*2)*F792*C792)+(C792*D792*E792)</f>
        <v>2.23</v>
      </c>
      <c r="I792" s="211"/>
    </row>
    <row r="793" s="229" customFormat="true" ht="15" hidden="false" customHeight="false" outlineLevel="0" collapsed="false">
      <c r="A793" s="180"/>
      <c r="B793" s="228" t="s">
        <v>161</v>
      </c>
      <c r="C793" s="228"/>
      <c r="D793" s="228"/>
      <c r="E793" s="228"/>
      <c r="F793" s="228"/>
      <c r="G793" s="228"/>
      <c r="H793" s="210"/>
    </row>
    <row r="794" s="210" customFormat="true" ht="15" hidden="false" customHeight="false" outlineLevel="0" collapsed="false">
      <c r="A794" s="180"/>
      <c r="B794" s="202" t="s">
        <v>177</v>
      </c>
      <c r="C794" s="203" t="n">
        <v>1</v>
      </c>
      <c r="D794" s="203" t="n">
        <f aca="false">5.66+5.46+5.48</f>
        <v>16.6</v>
      </c>
      <c r="E794" s="247"/>
      <c r="F794" s="232" t="n">
        <v>0.9</v>
      </c>
      <c r="G794" s="217" t="n">
        <f aca="false">C794*D794*F794</f>
        <v>14.94</v>
      </c>
      <c r="I794" s="211"/>
    </row>
    <row r="795" s="210" customFormat="true" ht="15" hidden="false" customHeight="false" outlineLevel="0" collapsed="false">
      <c r="A795" s="180"/>
      <c r="B795" s="202" t="s">
        <v>178</v>
      </c>
      <c r="C795" s="203" t="n">
        <v>1</v>
      </c>
      <c r="D795" s="203" t="n">
        <f aca="false">5.66+5.46+5.48</f>
        <v>16.6</v>
      </c>
      <c r="E795" s="247" t="n">
        <v>0.15</v>
      </c>
      <c r="F795" s="232" t="n">
        <v>0.5</v>
      </c>
      <c r="G795" s="217" t="n">
        <f aca="false">C795*D795*(E795+(F795*2))</f>
        <v>19.09</v>
      </c>
      <c r="I795" s="211"/>
    </row>
    <row r="796" s="210" customFormat="true" ht="15" hidden="false" customHeight="false" outlineLevel="0" collapsed="false">
      <c r="A796" s="180"/>
      <c r="B796" s="202" t="s">
        <v>179</v>
      </c>
      <c r="C796" s="203" t="n">
        <v>1</v>
      </c>
      <c r="D796" s="203" t="n">
        <f aca="false">5.66+5.46+5.48</f>
        <v>16.6</v>
      </c>
      <c r="E796" s="247"/>
      <c r="F796" s="232" t="n">
        <v>0.5</v>
      </c>
      <c r="G796" s="217" t="n">
        <f aca="false">C796*D796*F796</f>
        <v>8.3</v>
      </c>
      <c r="I796" s="211"/>
    </row>
    <row r="797" s="210" customFormat="true" ht="15" hidden="false" customHeight="false" outlineLevel="0" collapsed="false">
      <c r="A797" s="180"/>
      <c r="B797" s="202" t="s">
        <v>180</v>
      </c>
      <c r="C797" s="203" t="n">
        <v>1</v>
      </c>
      <c r="D797" s="203" t="n">
        <v>11.36</v>
      </c>
      <c r="E797" s="247"/>
      <c r="F797" s="232" t="n">
        <v>0.5</v>
      </c>
      <c r="G797" s="217" t="n">
        <f aca="false">C797*D797*F797</f>
        <v>5.68</v>
      </c>
      <c r="I797" s="211"/>
    </row>
    <row r="798" s="210" customFormat="true" ht="15" hidden="false" customHeight="false" outlineLevel="0" collapsed="false">
      <c r="A798" s="180"/>
      <c r="B798" s="202" t="s">
        <v>137</v>
      </c>
      <c r="C798" s="203" t="n">
        <v>1</v>
      </c>
      <c r="D798" s="203" t="n">
        <v>11.36</v>
      </c>
      <c r="E798" s="247" t="n">
        <v>0.35</v>
      </c>
      <c r="F798" s="232" t="n">
        <v>0.5</v>
      </c>
      <c r="G798" s="217" t="n">
        <f aca="false">C798*D798*(E798+(F798*2))</f>
        <v>15.336</v>
      </c>
      <c r="I798" s="211"/>
    </row>
    <row r="799" s="210" customFormat="true" ht="15" hidden="false" customHeight="false" outlineLevel="0" collapsed="false">
      <c r="A799" s="180"/>
      <c r="B799" s="202" t="s">
        <v>138</v>
      </c>
      <c r="C799" s="203" t="n">
        <v>1</v>
      </c>
      <c r="D799" s="203" t="n">
        <v>11.36</v>
      </c>
      <c r="E799" s="247" t="n">
        <v>0.35</v>
      </c>
      <c r="F799" s="232" t="n">
        <v>0.5</v>
      </c>
      <c r="G799" s="217" t="n">
        <f aca="false">C799*D799*(E799+(F799*2))</f>
        <v>15.336</v>
      </c>
      <c r="I799" s="211"/>
    </row>
    <row r="800" s="210" customFormat="true" ht="15" hidden="false" customHeight="false" outlineLevel="0" collapsed="false">
      <c r="A800" s="180"/>
      <c r="B800" s="202" t="s">
        <v>181</v>
      </c>
      <c r="C800" s="203" t="n">
        <v>1</v>
      </c>
      <c r="D800" s="203" t="n">
        <f aca="false">5.43+5.28</f>
        <v>10.71</v>
      </c>
      <c r="E800" s="247" t="n">
        <v>0.15</v>
      </c>
      <c r="F800" s="232" t="n">
        <v>0.5</v>
      </c>
      <c r="G800" s="217" t="n">
        <f aca="false">C800*D800*(E800+F800)</f>
        <v>6.9615</v>
      </c>
      <c r="I800" s="211"/>
    </row>
    <row r="801" s="210" customFormat="true" ht="15" hidden="false" customHeight="false" outlineLevel="0" collapsed="false">
      <c r="A801" s="180"/>
      <c r="B801" s="228" t="s">
        <v>182</v>
      </c>
      <c r="C801" s="228"/>
      <c r="D801" s="228"/>
      <c r="E801" s="228"/>
      <c r="F801" s="228"/>
      <c r="G801" s="228"/>
      <c r="I801" s="211"/>
    </row>
    <row r="802" s="210" customFormat="true" ht="15" hidden="false" customHeight="false" outlineLevel="0" collapsed="false">
      <c r="A802" s="180"/>
      <c r="B802" s="227" t="s">
        <v>183</v>
      </c>
      <c r="C802" s="241" t="n">
        <v>1</v>
      </c>
      <c r="D802" s="241" t="n">
        <f aca="false">2.7+1.4</f>
        <v>4.1</v>
      </c>
      <c r="E802" s="248"/>
      <c r="F802" s="242" t="n">
        <v>0.5</v>
      </c>
      <c r="G802" s="249" t="n">
        <f aca="false">C802*D802*F802</f>
        <v>2.05</v>
      </c>
      <c r="I802" s="211"/>
    </row>
    <row r="803" s="210" customFormat="true" ht="15" hidden="false" customHeight="false" outlineLevel="0" collapsed="false">
      <c r="A803" s="180"/>
      <c r="B803" s="227" t="s">
        <v>184</v>
      </c>
      <c r="C803" s="241" t="n">
        <v>1</v>
      </c>
      <c r="D803" s="241" t="n">
        <v>1.5</v>
      </c>
      <c r="E803" s="248"/>
      <c r="F803" s="242" t="n">
        <v>0.5</v>
      </c>
      <c r="G803" s="249" t="n">
        <f aca="false">C803*D803*F803</f>
        <v>0.75</v>
      </c>
      <c r="H803" s="226"/>
      <c r="I803" s="211"/>
    </row>
    <row r="804" s="210" customFormat="true" ht="15" hidden="false" customHeight="false" outlineLevel="0" collapsed="false">
      <c r="A804" s="180"/>
      <c r="B804" s="227" t="s">
        <v>185</v>
      </c>
      <c r="C804" s="241" t="n">
        <v>1</v>
      </c>
      <c r="D804" s="241" t="n">
        <v>1.5</v>
      </c>
      <c r="E804" s="248"/>
      <c r="F804" s="242" t="n">
        <v>0.5</v>
      </c>
      <c r="G804" s="249" t="n">
        <f aca="false">C804*D804*F804</f>
        <v>0.75</v>
      </c>
      <c r="H804" s="226"/>
      <c r="I804" s="211"/>
    </row>
    <row r="805" s="210" customFormat="true" ht="15" hidden="false" customHeight="false" outlineLevel="0" collapsed="false">
      <c r="A805" s="180"/>
      <c r="B805" s="227" t="s">
        <v>186</v>
      </c>
      <c r="C805" s="241" t="n">
        <v>1</v>
      </c>
      <c r="D805" s="241" t="n">
        <v>1.3</v>
      </c>
      <c r="E805" s="248" t="n">
        <v>0.15</v>
      </c>
      <c r="F805" s="242" t="n">
        <v>0.5</v>
      </c>
      <c r="G805" s="249" t="n">
        <f aca="false">C805*D805*(F805+E805)</f>
        <v>0.845</v>
      </c>
      <c r="I805" s="211"/>
    </row>
    <row r="806" s="210" customFormat="true" ht="15" hidden="false" customHeight="false" outlineLevel="0" collapsed="false">
      <c r="A806" s="180"/>
      <c r="B806" s="227" t="s">
        <v>187</v>
      </c>
      <c r="C806" s="241" t="n">
        <v>1</v>
      </c>
      <c r="D806" s="241" t="n">
        <v>4.8</v>
      </c>
      <c r="E806" s="248"/>
      <c r="F806" s="242" t="n">
        <v>0.5</v>
      </c>
      <c r="G806" s="249" t="n">
        <f aca="false">C806*D806*F806</f>
        <v>2.4</v>
      </c>
      <c r="I806" s="211"/>
    </row>
    <row r="807" s="210" customFormat="true" ht="15" hidden="false" customHeight="false" outlineLevel="0" collapsed="false">
      <c r="A807" s="180"/>
      <c r="B807" s="227" t="s">
        <v>179</v>
      </c>
      <c r="C807" s="241" t="n">
        <v>1</v>
      </c>
      <c r="D807" s="241" t="n">
        <v>2.45</v>
      </c>
      <c r="E807" s="248"/>
      <c r="F807" s="242" t="n">
        <v>0.5</v>
      </c>
      <c r="G807" s="249" t="n">
        <f aca="false">C807*D807*F807</f>
        <v>1.225</v>
      </c>
      <c r="I807" s="211"/>
    </row>
    <row r="808" s="210" customFormat="true" ht="15" hidden="false" customHeight="false" outlineLevel="0" collapsed="false">
      <c r="A808" s="180"/>
      <c r="B808" s="227" t="s">
        <v>188</v>
      </c>
      <c r="C808" s="241" t="n">
        <v>1</v>
      </c>
      <c r="D808" s="241" t="n">
        <v>6.3</v>
      </c>
      <c r="E808" s="248"/>
      <c r="F808" s="242" t="n">
        <v>0.5</v>
      </c>
      <c r="G808" s="249" t="n">
        <f aca="false">C808*D808*F808</f>
        <v>3.15</v>
      </c>
      <c r="I808" s="211"/>
    </row>
    <row r="809" s="172" customFormat="true" ht="15.75" hidden="false" customHeight="false" outlineLevel="0" collapsed="false">
      <c r="A809" s="180"/>
      <c r="B809" s="250" t="s">
        <v>189</v>
      </c>
      <c r="C809" s="250"/>
      <c r="D809" s="250"/>
      <c r="E809" s="250"/>
      <c r="F809" s="250"/>
      <c r="G809" s="194" t="n">
        <f aca="false">SUM(G753:G808)</f>
        <v>535.0195</v>
      </c>
      <c r="H809" s="210"/>
    </row>
    <row r="810" customFormat="false" ht="15" hidden="false" customHeight="false" outlineLevel="0" collapsed="false">
      <c r="A810" s="243"/>
      <c r="B810" s="244"/>
      <c r="C810" s="210"/>
      <c r="D810" s="210"/>
      <c r="E810" s="210"/>
      <c r="F810" s="197"/>
      <c r="H810" s="210"/>
    </row>
    <row r="811" customFormat="false" ht="15" hidden="false" customHeight="false" outlineLevel="0" collapsed="false">
      <c r="A811" s="300" t="n">
        <v>5</v>
      </c>
      <c r="B811" s="301" t="s">
        <v>68</v>
      </c>
      <c r="C811" s="210"/>
      <c r="D811" s="210"/>
      <c r="E811" s="210"/>
      <c r="H811" s="210"/>
    </row>
    <row r="812" s="168" customFormat="true" ht="15" hidden="false" customHeight="false" outlineLevel="0" collapsed="false">
      <c r="A812" s="302"/>
      <c r="B812" s="245"/>
      <c r="C812" s="210"/>
      <c r="D812" s="210"/>
      <c r="E812" s="210"/>
      <c r="H812" s="210"/>
    </row>
    <row r="813" s="210" customFormat="true" ht="15" hidden="false" customHeight="false" outlineLevel="0" collapsed="false">
      <c r="A813" s="182" t="s">
        <v>69</v>
      </c>
      <c r="B813" s="183" t="str">
        <f aca="false">'Composições '!C343</f>
        <v>Recolocação de central de ar</v>
      </c>
      <c r="H813" s="172"/>
      <c r="I813" s="172"/>
    </row>
    <row r="814" s="210" customFormat="true" ht="15.75" hidden="false" customHeight="false" outlineLevel="0" collapsed="false">
      <c r="A814" s="182"/>
      <c r="B814" s="221"/>
      <c r="F814" s="209"/>
      <c r="G814" s="211"/>
      <c r="H814" s="172"/>
      <c r="I814" s="172"/>
    </row>
    <row r="815" s="210" customFormat="true" ht="15" hidden="false" customHeight="false" outlineLevel="0" collapsed="false">
      <c r="A815" s="180"/>
      <c r="B815" s="185" t="s">
        <v>91</v>
      </c>
      <c r="C815" s="186" t="s">
        <v>109</v>
      </c>
      <c r="D815" s="186" t="s">
        <v>94</v>
      </c>
      <c r="E815" s="187" t="s">
        <v>110</v>
      </c>
      <c r="F815" s="187" t="s">
        <v>93</v>
      </c>
      <c r="G815" s="188" t="s">
        <v>94</v>
      </c>
      <c r="H815" s="172"/>
      <c r="I815" s="172"/>
    </row>
    <row r="816" s="210" customFormat="true" ht="15" hidden="false" customHeight="false" outlineLevel="0" collapsed="false">
      <c r="A816" s="180"/>
      <c r="B816" s="189" t="s">
        <v>111</v>
      </c>
      <c r="C816" s="199"/>
      <c r="D816" s="199" t="n">
        <v>18</v>
      </c>
      <c r="E816" s="212"/>
      <c r="F816" s="200"/>
      <c r="G816" s="192" t="n">
        <f aca="false">D816</f>
        <v>18</v>
      </c>
      <c r="H816" s="172"/>
      <c r="I816" s="172"/>
    </row>
    <row r="817" s="210" customFormat="true" ht="15.75" hidden="false" customHeight="false" outlineLevel="0" collapsed="false">
      <c r="A817" s="180"/>
      <c r="B817" s="193" t="s">
        <v>175</v>
      </c>
      <c r="C817" s="193"/>
      <c r="D817" s="193"/>
      <c r="E817" s="193"/>
      <c r="F817" s="193"/>
      <c r="G817" s="194" t="n">
        <f aca="false">SUM(G816:G816)</f>
        <v>18</v>
      </c>
      <c r="H817" s="172"/>
      <c r="I817" s="172"/>
    </row>
    <row r="818" s="210" customFormat="true" ht="15" hidden="false" customHeight="false" outlineLevel="0" collapsed="false">
      <c r="A818" s="180"/>
      <c r="B818" s="218"/>
      <c r="H818" s="172"/>
      <c r="I818" s="172"/>
    </row>
    <row r="819" s="168" customFormat="true" ht="15" hidden="false" customHeight="false" outlineLevel="0" collapsed="false">
      <c r="A819" s="261" t="s">
        <v>70</v>
      </c>
      <c r="B819" s="195" t="str">
        <f aca="false">'Composições '!C352</f>
        <v>Coleta e carga manual de entulho</v>
      </c>
      <c r="C819" s="210"/>
      <c r="D819" s="210"/>
      <c r="E819" s="210"/>
      <c r="H819" s="210"/>
    </row>
    <row r="820" s="168" customFormat="true" ht="15.75" hidden="false" customHeight="false" outlineLevel="0" collapsed="false">
      <c r="B820" s="245"/>
      <c r="C820" s="210"/>
      <c r="D820" s="210"/>
      <c r="E820" s="210"/>
    </row>
    <row r="821" customFormat="false" ht="15" hidden="false" customHeight="false" outlineLevel="0" collapsed="false">
      <c r="B821" s="185" t="s">
        <v>242</v>
      </c>
      <c r="C821" s="186" t="s">
        <v>109</v>
      </c>
      <c r="D821" s="186" t="s">
        <v>94</v>
      </c>
      <c r="E821" s="187" t="s">
        <v>110</v>
      </c>
      <c r="F821" s="187" t="s">
        <v>93</v>
      </c>
      <c r="G821" s="236" t="s">
        <v>139</v>
      </c>
      <c r="H821" s="210"/>
    </row>
    <row r="822" customFormat="false" ht="15" hidden="false" customHeight="false" outlineLevel="0" collapsed="false">
      <c r="B822" s="202" t="s">
        <v>243</v>
      </c>
      <c r="C822" s="203" t="n">
        <f aca="false">G22</f>
        <v>499</v>
      </c>
      <c r="D822" s="203" t="n">
        <v>0.5</v>
      </c>
      <c r="E822" s="191" t="n">
        <v>0.5</v>
      </c>
      <c r="F822" s="232" t="n">
        <v>0.185</v>
      </c>
      <c r="G822" s="295" t="n">
        <f aca="false">C822*D822*E822*F822</f>
        <v>23.07875</v>
      </c>
      <c r="H822" s="239"/>
    </row>
    <row r="823" customFormat="false" ht="15" hidden="false" customHeight="false" outlineLevel="0" collapsed="false">
      <c r="B823" s="227"/>
      <c r="C823" s="203"/>
      <c r="D823" s="303" t="s">
        <v>244</v>
      </c>
      <c r="E823" s="303"/>
      <c r="F823" s="304"/>
      <c r="G823" s="305"/>
      <c r="H823" s="239"/>
    </row>
    <row r="824" customFormat="false" ht="15" hidden="false" customHeight="false" outlineLevel="0" collapsed="false">
      <c r="B824" s="227" t="s">
        <v>245</v>
      </c>
      <c r="C824" s="203" t="n">
        <v>1</v>
      </c>
      <c r="D824" s="280" t="n">
        <f aca="false">SUM(G754:G780)</f>
        <v>63.7412</v>
      </c>
      <c r="E824" s="280"/>
      <c r="F824" s="191" t="n">
        <v>0.043</v>
      </c>
      <c r="G824" s="240" t="n">
        <f aca="false">C824*D824*F824</f>
        <v>2.7408716</v>
      </c>
      <c r="H824" s="239"/>
    </row>
    <row r="825" customFormat="false" ht="15" hidden="false" customHeight="false" outlineLevel="0" collapsed="false">
      <c r="B825" s="227" t="s">
        <v>246</v>
      </c>
      <c r="C825" s="203" t="n">
        <v>1</v>
      </c>
      <c r="D825" s="303" t="n">
        <f aca="false">SUM(D609:D611)</f>
        <v>16.37</v>
      </c>
      <c r="E825" s="303"/>
      <c r="F825" s="232" t="n">
        <v>0.065</v>
      </c>
      <c r="G825" s="240" t="n">
        <f aca="false">C825*D825*F825</f>
        <v>1.06405</v>
      </c>
      <c r="H825" s="239"/>
    </row>
    <row r="826" customFormat="false" ht="15" hidden="false" customHeight="false" outlineLevel="0" collapsed="false">
      <c r="B826" s="227" t="s">
        <v>247</v>
      </c>
      <c r="C826" s="203" t="n">
        <v>1</v>
      </c>
      <c r="D826" s="306" t="n">
        <f aca="false">3.14*(0.025*0.025)</f>
        <v>0.0019625</v>
      </c>
      <c r="E826" s="306"/>
      <c r="F826" s="232" t="n">
        <f aca="false">G35</f>
        <v>60.4</v>
      </c>
      <c r="G826" s="240" t="n">
        <f aca="false">C826*D826*F826</f>
        <v>0.118535</v>
      </c>
      <c r="H826" s="239"/>
    </row>
    <row r="827" customFormat="false" ht="15" hidden="false" customHeight="false" outlineLevel="0" collapsed="false">
      <c r="B827" s="227" t="s">
        <v>248</v>
      </c>
      <c r="C827" s="203" t="n">
        <v>1</v>
      </c>
      <c r="D827" s="306" t="n">
        <f aca="false">3.14*(0.1*0.1)</f>
        <v>0.0314</v>
      </c>
      <c r="E827" s="306"/>
      <c r="F827" s="232" t="n">
        <f aca="false">G28</f>
        <v>35.35</v>
      </c>
      <c r="G827" s="240" t="n">
        <f aca="false">C827*D827*F827</f>
        <v>1.10999</v>
      </c>
      <c r="H827" s="239"/>
    </row>
    <row r="828" customFormat="false" ht="15" hidden="false" customHeight="false" outlineLevel="0" collapsed="false">
      <c r="B828" s="307" t="s">
        <v>249</v>
      </c>
      <c r="C828" s="307"/>
      <c r="D828" s="307"/>
      <c r="E828" s="307"/>
      <c r="F828" s="307"/>
      <c r="G828" s="308" t="n">
        <f aca="false">SUM(G822:G827)</f>
        <v>28.1121966</v>
      </c>
      <c r="H828" s="239"/>
    </row>
    <row r="829" customFormat="false" ht="15" hidden="false" customHeight="false" outlineLevel="0" collapsed="false">
      <c r="B829" s="307" t="s">
        <v>250</v>
      </c>
      <c r="C829" s="307"/>
      <c r="D829" s="307"/>
      <c r="E829" s="307"/>
      <c r="F829" s="307"/>
      <c r="G829" s="309" t="n">
        <v>0.4</v>
      </c>
      <c r="H829" s="239"/>
    </row>
    <row r="830" customFormat="false" ht="15.75" hidden="false" customHeight="false" outlineLevel="0" collapsed="false">
      <c r="B830" s="269" t="s">
        <v>140</v>
      </c>
      <c r="C830" s="269"/>
      <c r="D830" s="269"/>
      <c r="E830" s="269"/>
      <c r="F830" s="269"/>
      <c r="G830" s="270" t="n">
        <f aca="false">G828*(1+G829)</f>
        <v>39.35707524</v>
      </c>
      <c r="H830" s="218"/>
    </row>
    <row r="831" customFormat="false" ht="15" hidden="false" customHeight="false" outlineLevel="0" collapsed="false">
      <c r="C831" s="210"/>
      <c r="D831" s="210"/>
      <c r="E831" s="210"/>
    </row>
    <row r="832" s="168" customFormat="true" ht="15" hidden="false" customHeight="false" outlineLevel="0" collapsed="false">
      <c r="A832" s="261" t="s">
        <v>71</v>
      </c>
      <c r="B832" s="195" t="str">
        <f aca="false">'Orçamento Sintético'!C54</f>
        <v>Acomodação de entulho em saco de rafia, 60X90 cm</v>
      </c>
      <c r="C832" s="210"/>
      <c r="D832" s="210"/>
      <c r="E832" s="210"/>
    </row>
    <row r="833" s="168" customFormat="true" ht="15.75" hidden="false" customHeight="false" outlineLevel="0" collapsed="false">
      <c r="B833" s="245"/>
      <c r="C833" s="210"/>
      <c r="D833" s="210"/>
      <c r="E833" s="210"/>
    </row>
    <row r="834" s="168" customFormat="true" ht="15" hidden="false" customHeight="false" outlineLevel="0" collapsed="false">
      <c r="B834" s="185" t="s">
        <v>242</v>
      </c>
      <c r="C834" s="186" t="s">
        <v>251</v>
      </c>
      <c r="D834" s="186" t="s">
        <v>252</v>
      </c>
      <c r="E834" s="186" t="s">
        <v>253</v>
      </c>
      <c r="F834" s="188" t="s">
        <v>100</v>
      </c>
    </row>
    <row r="835" s="168" customFormat="true" ht="15" hidden="false" customHeight="false" outlineLevel="0" collapsed="false">
      <c r="B835" s="284" t="s">
        <v>254</v>
      </c>
      <c r="C835" s="199" t="n">
        <f aca="false">G828</f>
        <v>28.1121966</v>
      </c>
      <c r="D835" s="199" t="n">
        <f aca="false">C835*(1+G829)</f>
        <v>39.35707524</v>
      </c>
      <c r="E835" s="288" t="n">
        <v>0.075</v>
      </c>
      <c r="F835" s="201" t="n">
        <f aca="false">ROUND(D835/E835,0)</f>
        <v>525</v>
      </c>
    </row>
    <row r="836" s="168" customFormat="true" ht="15.75" hidden="false" customHeight="false" outlineLevel="0" collapsed="false">
      <c r="B836" s="193" t="s">
        <v>100</v>
      </c>
      <c r="C836" s="193"/>
      <c r="D836" s="193"/>
      <c r="E836" s="193"/>
      <c r="F836" s="194" t="n">
        <f aca="false">F835</f>
        <v>525</v>
      </c>
    </row>
    <row r="837" s="168" customFormat="true" ht="15" hidden="false" customHeight="false" outlineLevel="0" collapsed="false">
      <c r="B837" s="245"/>
      <c r="C837" s="210"/>
      <c r="D837" s="210"/>
      <c r="E837" s="210"/>
    </row>
    <row r="838" s="210" customFormat="true" ht="15" hidden="false" customHeight="false" outlineLevel="0" collapsed="false">
      <c r="A838" s="182" t="s">
        <v>71</v>
      </c>
      <c r="B838" s="183" t="str">
        <f aca="false">'Composições '!C359</f>
        <v>Transporte horizontal com carrinho de mão</v>
      </c>
      <c r="H838" s="172"/>
      <c r="I838" s="172"/>
    </row>
    <row r="839" s="210" customFormat="true" ht="15.75" hidden="false" customHeight="false" outlineLevel="0" collapsed="false">
      <c r="A839" s="182"/>
      <c r="B839" s="221"/>
      <c r="F839" s="209"/>
      <c r="G839" s="211"/>
      <c r="H839" s="172"/>
      <c r="I839" s="172"/>
    </row>
    <row r="840" s="210" customFormat="true" ht="15" hidden="false" customHeight="false" outlineLevel="0" collapsed="false">
      <c r="A840" s="180"/>
      <c r="B840" s="185" t="s">
        <v>242</v>
      </c>
      <c r="C840" s="186" t="s">
        <v>139</v>
      </c>
      <c r="D840" s="186" t="s">
        <v>255</v>
      </c>
      <c r="E840" s="187" t="s">
        <v>256</v>
      </c>
      <c r="F840" s="187" t="s">
        <v>257</v>
      </c>
      <c r="G840" s="188" t="s">
        <v>73</v>
      </c>
      <c r="H840" s="172"/>
      <c r="I840" s="172"/>
    </row>
    <row r="841" s="210" customFormat="true" ht="15" hidden="false" customHeight="false" outlineLevel="0" collapsed="false">
      <c r="A841" s="180"/>
      <c r="B841" s="216" t="s">
        <v>254</v>
      </c>
      <c r="C841" s="199" t="n">
        <f aca="false">G822</f>
        <v>23.07875</v>
      </c>
      <c r="D841" s="199" t="n">
        <v>10</v>
      </c>
      <c r="E841" s="212" t="n">
        <f aca="false">C841*D841</f>
        <v>230.7875</v>
      </c>
      <c r="F841" s="200" t="n">
        <f aca="false">99.15/1000</f>
        <v>0.09915</v>
      </c>
      <c r="G841" s="192" t="n">
        <f aca="false">E841*F841</f>
        <v>22.882580625</v>
      </c>
      <c r="H841" s="172"/>
      <c r="I841" s="172"/>
    </row>
    <row r="842" s="210" customFormat="true" ht="15" hidden="false" customHeight="false" outlineLevel="0" collapsed="false">
      <c r="A842" s="180"/>
      <c r="B842" s="216"/>
      <c r="C842" s="203" t="n">
        <f aca="false">G828-G822</f>
        <v>5.03344660000001</v>
      </c>
      <c r="D842" s="203" t="n">
        <v>1500</v>
      </c>
      <c r="E842" s="212" t="n">
        <f aca="false">C842*D842</f>
        <v>7550.16990000001</v>
      </c>
      <c r="F842" s="200" t="n">
        <f aca="false">99.15/1000</f>
        <v>0.09915</v>
      </c>
      <c r="G842" s="192" t="n">
        <f aca="false">E842*F842</f>
        <v>748.599345585001</v>
      </c>
      <c r="H842" s="172"/>
      <c r="I842" s="172"/>
    </row>
    <row r="843" s="210" customFormat="true" ht="15.75" hidden="false" customHeight="false" outlineLevel="0" collapsed="false">
      <c r="A843" s="180"/>
      <c r="B843" s="193" t="s">
        <v>258</v>
      </c>
      <c r="C843" s="193"/>
      <c r="D843" s="193"/>
      <c r="E843" s="193"/>
      <c r="F843" s="193"/>
      <c r="G843" s="194" t="n">
        <f aca="false">SUM(G841:G842)</f>
        <v>771.481926210001</v>
      </c>
      <c r="H843" s="172"/>
      <c r="I843" s="172"/>
    </row>
    <row r="844" s="210" customFormat="true" ht="15" hidden="false" customHeight="false" outlineLevel="0" collapsed="false">
      <c r="A844" s="180"/>
      <c r="B844" s="218" t="s">
        <v>259</v>
      </c>
      <c r="C844" s="310"/>
      <c r="D844" s="310"/>
      <c r="E844" s="213"/>
      <c r="F844" s="213"/>
      <c r="G844" s="214"/>
      <c r="H844" s="172"/>
      <c r="I844" s="172"/>
    </row>
    <row r="845" s="210" customFormat="true" ht="15" hidden="false" customHeight="false" outlineLevel="0" collapsed="false">
      <c r="A845" s="180"/>
      <c r="B845" s="311"/>
      <c r="C845" s="219"/>
      <c r="D845" s="219"/>
      <c r="E845" s="219"/>
      <c r="F845" s="219"/>
      <c r="G845" s="312"/>
      <c r="H845" s="172"/>
      <c r="I845" s="172"/>
    </row>
    <row r="846" s="210" customFormat="true" ht="15" hidden="false" customHeight="false" outlineLevel="0" collapsed="false">
      <c r="A846" s="261" t="s">
        <v>71</v>
      </c>
      <c r="B846" s="195" t="str">
        <f aca="false">'Orçamento Sintético'!C56</f>
        <v>Transporte vertical de saco de entulho em elevador, até 10 lajes</v>
      </c>
      <c r="F846" s="168"/>
      <c r="G846" s="312"/>
      <c r="H846" s="172"/>
      <c r="I846" s="172"/>
    </row>
    <row r="847" s="210" customFormat="true" ht="15.75" hidden="false" customHeight="false" outlineLevel="0" collapsed="false">
      <c r="A847" s="168"/>
      <c r="B847" s="245"/>
      <c r="F847" s="168"/>
      <c r="G847" s="312"/>
      <c r="H847" s="172"/>
      <c r="I847" s="172"/>
    </row>
    <row r="848" s="210" customFormat="true" ht="15" hidden="false" customHeight="false" outlineLevel="0" collapsed="false">
      <c r="A848" s="168"/>
      <c r="B848" s="185" t="s">
        <v>242</v>
      </c>
      <c r="C848" s="186" t="s">
        <v>251</v>
      </c>
      <c r="D848" s="186" t="s">
        <v>252</v>
      </c>
      <c r="E848" s="186" t="s">
        <v>253</v>
      </c>
      <c r="F848" s="188" t="s">
        <v>100</v>
      </c>
      <c r="G848" s="312"/>
      <c r="H848" s="172"/>
      <c r="I848" s="172"/>
    </row>
    <row r="849" s="210" customFormat="true" ht="15" hidden="false" customHeight="false" outlineLevel="0" collapsed="false">
      <c r="A849" s="168"/>
      <c r="B849" s="284" t="s">
        <v>254</v>
      </c>
      <c r="C849" s="199" t="n">
        <f aca="false">G828</f>
        <v>28.1121966</v>
      </c>
      <c r="D849" s="199" t="n">
        <f aca="false">C849*(1+G829)</f>
        <v>39.35707524</v>
      </c>
      <c r="E849" s="288" t="n">
        <v>0.075</v>
      </c>
      <c r="F849" s="201" t="n">
        <f aca="false">ROUND(D849/E849,0)</f>
        <v>525</v>
      </c>
      <c r="G849" s="312"/>
      <c r="H849" s="172"/>
      <c r="I849" s="172"/>
    </row>
    <row r="850" s="210" customFormat="true" ht="15.75" hidden="false" customHeight="false" outlineLevel="0" collapsed="false">
      <c r="A850" s="168"/>
      <c r="B850" s="193" t="s">
        <v>100</v>
      </c>
      <c r="C850" s="193"/>
      <c r="D850" s="193"/>
      <c r="E850" s="193"/>
      <c r="F850" s="194" t="n">
        <f aca="false">F849</f>
        <v>525</v>
      </c>
      <c r="G850" s="312"/>
      <c r="H850" s="172"/>
      <c r="I850" s="172"/>
    </row>
    <row r="851" s="210" customFormat="true" ht="15" hidden="false" customHeight="false" outlineLevel="0" collapsed="false">
      <c r="A851" s="180"/>
      <c r="B851" s="313"/>
      <c r="C851" s="313"/>
      <c r="D851" s="313"/>
      <c r="E851" s="314"/>
      <c r="F851" s="314"/>
      <c r="G851" s="314"/>
      <c r="H851" s="172"/>
      <c r="I851" s="172"/>
    </row>
    <row r="852" s="168" customFormat="true" ht="15" hidden="false" customHeight="false" outlineLevel="0" collapsed="false">
      <c r="A852" s="261" t="s">
        <v>72</v>
      </c>
      <c r="B852" s="195" t="str">
        <f aca="false">'Orçamento Sintético'!C57</f>
        <v>Aluguel de caçamba estacionária adaptável para poliguindaste, por até 5 dias corridos, com capacidade de 5 m³, para remoção de metralha e entulho provenientes de construção (incluso emissão de CTR) </v>
      </c>
      <c r="C852" s="210"/>
      <c r="D852" s="210"/>
      <c r="E852" s="210"/>
    </row>
    <row r="853" customFormat="false" ht="15.75" hidden="false" customHeight="false" outlineLevel="0" collapsed="false">
      <c r="C853" s="210"/>
      <c r="D853" s="210"/>
      <c r="E853" s="210"/>
    </row>
    <row r="854" customFormat="false" ht="15" hidden="false" customHeight="false" outlineLevel="0" collapsed="false">
      <c r="B854" s="185" t="s">
        <v>242</v>
      </c>
      <c r="C854" s="215" t="s">
        <v>260</v>
      </c>
      <c r="D854" s="263" t="s">
        <v>261</v>
      </c>
      <c r="E854" s="236" t="s">
        <v>262</v>
      </c>
      <c r="F854" s="233"/>
    </row>
    <row r="855" customFormat="false" ht="15" hidden="false" customHeight="false" outlineLevel="0" collapsed="false">
      <c r="B855" s="216" t="s">
        <v>263</v>
      </c>
      <c r="C855" s="203" t="n">
        <f aca="false">G830</f>
        <v>39.35707524</v>
      </c>
      <c r="D855" s="203" t="n">
        <v>5</v>
      </c>
      <c r="E855" s="240" t="n">
        <v>8</v>
      </c>
      <c r="F855" s="315"/>
    </row>
    <row r="856" customFormat="false" ht="15.75" hidden="false" customHeight="false" outlineLevel="0" collapsed="false">
      <c r="B856" s="193" t="s">
        <v>264</v>
      </c>
      <c r="C856" s="193"/>
      <c r="D856" s="193"/>
      <c r="E856" s="270" t="n">
        <f aca="false">E855</f>
        <v>8</v>
      </c>
      <c r="F856" s="218"/>
    </row>
    <row r="857" s="168" customFormat="true" ht="15" hidden="false" customHeight="false" outlineLevel="0" collapsed="false">
      <c r="A857" s="164"/>
      <c r="F857" s="213"/>
      <c r="G857" s="213"/>
      <c r="H857" s="218"/>
    </row>
    <row r="858" s="168" customFormat="true" ht="15" hidden="false" customHeight="false" outlineLevel="0" collapsed="false">
      <c r="A858" s="261" t="s">
        <v>74</v>
      </c>
      <c r="B858" s="229" t="str">
        <f aca="false">'Composições '!C365</f>
        <v>Limpeza geral</v>
      </c>
      <c r="H858" s="210"/>
    </row>
    <row r="859" s="168" customFormat="true" ht="15.75" hidden="false" customHeight="false" outlineLevel="0" collapsed="false">
      <c r="A859" s="164"/>
      <c r="F859" s="167"/>
      <c r="H859" s="210"/>
    </row>
    <row r="860" s="210" customFormat="true" ht="15" hidden="false" customHeight="false" outlineLevel="0" collapsed="false">
      <c r="A860" s="180"/>
      <c r="B860" s="185" t="s">
        <v>91</v>
      </c>
      <c r="C860" s="186" t="s">
        <v>109</v>
      </c>
      <c r="D860" s="186" t="s">
        <v>94</v>
      </c>
      <c r="E860" s="187" t="s">
        <v>110</v>
      </c>
      <c r="F860" s="187" t="s">
        <v>93</v>
      </c>
      <c r="G860" s="188" t="s">
        <v>96</v>
      </c>
    </row>
    <row r="861" s="210" customFormat="true" ht="15" hidden="false" customHeight="false" outlineLevel="0" collapsed="false">
      <c r="A861" s="180"/>
      <c r="B861" s="189" t="s">
        <v>111</v>
      </c>
      <c r="C861" s="199"/>
      <c r="D861" s="199" t="n">
        <v>18</v>
      </c>
      <c r="E861" s="212" t="n">
        <v>11.65</v>
      </c>
      <c r="F861" s="200"/>
      <c r="G861" s="192" t="n">
        <f aca="false">D861*E861</f>
        <v>209.7</v>
      </c>
    </row>
    <row r="862" s="210" customFormat="true" ht="15" hidden="false" customHeight="false" outlineLevel="0" collapsed="false">
      <c r="A862" s="180"/>
      <c r="B862" s="260" t="s">
        <v>113</v>
      </c>
      <c r="C862" s="316"/>
      <c r="D862" s="203"/>
      <c r="E862" s="191"/>
      <c r="F862" s="191"/>
      <c r="G862" s="317" t="n">
        <v>24.73</v>
      </c>
    </row>
    <row r="863" s="210" customFormat="true" ht="15.75" hidden="false" customHeight="false" outlineLevel="0" collapsed="false">
      <c r="A863" s="180"/>
      <c r="B863" s="193" t="s">
        <v>118</v>
      </c>
      <c r="C863" s="193"/>
      <c r="D863" s="193"/>
      <c r="E863" s="193"/>
      <c r="F863" s="193"/>
      <c r="G863" s="194" t="n">
        <f aca="false">SUM(G861:G862)</f>
        <v>234.43</v>
      </c>
    </row>
    <row r="864" s="168" customFormat="true" ht="15" hidden="false" customHeight="false" outlineLevel="0" collapsed="false">
      <c r="A864" s="164"/>
      <c r="H864" s="210"/>
    </row>
    <row r="865" s="168" customFormat="true" ht="15" hidden="false" customHeight="false" outlineLevel="0" collapsed="false">
      <c r="A865" s="164"/>
      <c r="H865" s="210"/>
    </row>
    <row r="866" s="168" customFormat="true" ht="15" hidden="false" customHeight="false" outlineLevel="0" collapsed="false">
      <c r="A866" s="300" t="n">
        <v>6</v>
      </c>
      <c r="B866" s="301" t="s">
        <v>78</v>
      </c>
    </row>
    <row r="867" s="168" customFormat="true" ht="15" hidden="false" customHeight="false" outlineLevel="0" collapsed="false">
      <c r="A867" s="164"/>
    </row>
    <row r="868" customFormat="false" ht="15" hidden="false" customHeight="false" outlineLevel="0" collapsed="false">
      <c r="A868" s="182" t="s">
        <v>79</v>
      </c>
      <c r="B868" s="195" t="str">
        <f aca="false">'Orçamento Sintético'!C60</f>
        <v>Administração local</v>
      </c>
      <c r="C868" s="177"/>
      <c r="D868" s="177"/>
      <c r="E868" s="177"/>
      <c r="F868" s="210"/>
      <c r="G868" s="210"/>
    </row>
    <row r="869" customFormat="false" ht="15.75" hidden="false" customHeight="false" outlineLevel="0" collapsed="false">
      <c r="A869" s="182"/>
      <c r="B869" s="195"/>
      <c r="C869" s="177"/>
      <c r="D869" s="177"/>
      <c r="E869" s="177"/>
      <c r="F869" s="209"/>
      <c r="G869" s="211"/>
    </row>
    <row r="870" customFormat="false" ht="15" hidden="false" customHeight="false" outlineLevel="0" collapsed="false">
      <c r="A870" s="180"/>
      <c r="B870" s="185" t="s">
        <v>91</v>
      </c>
      <c r="C870" s="186" t="s">
        <v>109</v>
      </c>
      <c r="D870" s="186" t="s">
        <v>94</v>
      </c>
      <c r="E870" s="187" t="s">
        <v>110</v>
      </c>
      <c r="F870" s="187" t="s">
        <v>93</v>
      </c>
      <c r="G870" s="188" t="s">
        <v>94</v>
      </c>
    </row>
    <row r="871" customFormat="false" ht="15" hidden="false" customHeight="false" outlineLevel="0" collapsed="false">
      <c r="A871" s="180"/>
      <c r="B871" s="189" t="s">
        <v>114</v>
      </c>
      <c r="C871" s="199" t="n">
        <v>1</v>
      </c>
      <c r="D871" s="199"/>
      <c r="E871" s="212"/>
      <c r="F871" s="200"/>
      <c r="G871" s="192"/>
    </row>
    <row r="872" customFormat="false" ht="15.75" hidden="false" customHeight="false" outlineLevel="0" collapsed="false">
      <c r="A872" s="180"/>
      <c r="B872" s="193" t="s">
        <v>265</v>
      </c>
      <c r="C872" s="193"/>
      <c r="D872" s="193"/>
      <c r="E872" s="193"/>
      <c r="F872" s="193"/>
      <c r="G872" s="194" t="n">
        <f aca="false">C871</f>
        <v>1</v>
      </c>
    </row>
    <row r="873" s="168" customFormat="true" ht="15" hidden="false" customHeight="false" outlineLevel="0" collapsed="false">
      <c r="A873" s="164"/>
    </row>
    <row r="874" customFormat="false" ht="15" hidden="false" customHeight="false" outlineLevel="0" collapsed="false">
      <c r="A874" s="182" t="s">
        <v>80</v>
      </c>
      <c r="B874" s="195" t="str">
        <f aca="false">'Orçamento Sintético'!C61</f>
        <v>PCMAT</v>
      </c>
      <c r="C874" s="177"/>
      <c r="D874" s="177"/>
      <c r="E874" s="177"/>
      <c r="F874" s="210"/>
      <c r="G874" s="210"/>
    </row>
    <row r="875" customFormat="false" ht="15.75" hidden="false" customHeight="false" outlineLevel="0" collapsed="false">
      <c r="A875" s="182"/>
      <c r="B875" s="195"/>
      <c r="C875" s="177"/>
      <c r="D875" s="177"/>
      <c r="E875" s="177"/>
      <c r="F875" s="209"/>
      <c r="G875" s="211"/>
    </row>
    <row r="876" customFormat="false" ht="15" hidden="false" customHeight="false" outlineLevel="0" collapsed="false">
      <c r="A876" s="180"/>
      <c r="B876" s="185" t="s">
        <v>91</v>
      </c>
      <c r="C876" s="186" t="s">
        <v>109</v>
      </c>
      <c r="D876" s="186" t="s">
        <v>94</v>
      </c>
      <c r="E876" s="187" t="s">
        <v>110</v>
      </c>
      <c r="F876" s="187" t="s">
        <v>93</v>
      </c>
      <c r="G876" s="188" t="s">
        <v>94</v>
      </c>
    </row>
    <row r="877" customFormat="false" ht="15" hidden="false" customHeight="false" outlineLevel="0" collapsed="false">
      <c r="A877" s="180"/>
      <c r="B877" s="189" t="s">
        <v>114</v>
      </c>
      <c r="C877" s="199" t="n">
        <v>1</v>
      </c>
      <c r="D877" s="199"/>
      <c r="E877" s="212"/>
      <c r="F877" s="200"/>
      <c r="G877" s="192"/>
    </row>
    <row r="878" customFormat="false" ht="15.75" hidden="false" customHeight="false" outlineLevel="0" collapsed="false">
      <c r="A878" s="180"/>
      <c r="B878" s="193" t="s">
        <v>265</v>
      </c>
      <c r="C878" s="193"/>
      <c r="D878" s="193"/>
      <c r="E878" s="193"/>
      <c r="F878" s="193"/>
      <c r="G878" s="194" t="n">
        <f aca="false">C877</f>
        <v>1</v>
      </c>
    </row>
    <row r="879" s="168" customFormat="true" ht="15" hidden="false" customHeight="false" outlineLevel="0" collapsed="false">
      <c r="A879" s="164"/>
    </row>
    <row r="880" customFormat="false" ht="15" hidden="false" customHeight="false" outlineLevel="0" collapsed="false">
      <c r="A880" s="182" t="s">
        <v>83</v>
      </c>
      <c r="B880" s="195" t="str">
        <f aca="false">'Orçamento Sintético'!C62</f>
        <v>Plano de gerenciamento de resíduos sólidos</v>
      </c>
      <c r="C880" s="177"/>
      <c r="D880" s="177"/>
      <c r="E880" s="177"/>
      <c r="F880" s="210"/>
      <c r="G880" s="210"/>
    </row>
    <row r="881" customFormat="false" ht="15.75" hidden="false" customHeight="false" outlineLevel="0" collapsed="false">
      <c r="A881" s="182"/>
      <c r="B881" s="195"/>
      <c r="C881" s="177"/>
      <c r="D881" s="177"/>
      <c r="E881" s="177"/>
      <c r="F881" s="209"/>
      <c r="G881" s="211"/>
    </row>
    <row r="882" customFormat="false" ht="15" hidden="false" customHeight="false" outlineLevel="0" collapsed="false">
      <c r="A882" s="180"/>
      <c r="B882" s="185" t="s">
        <v>91</v>
      </c>
      <c r="C882" s="186" t="s">
        <v>109</v>
      </c>
      <c r="D882" s="186" t="s">
        <v>94</v>
      </c>
      <c r="E882" s="187" t="s">
        <v>110</v>
      </c>
      <c r="F882" s="187" t="s">
        <v>93</v>
      </c>
      <c r="G882" s="188" t="s">
        <v>94</v>
      </c>
    </row>
    <row r="883" customFormat="false" ht="15" hidden="false" customHeight="false" outlineLevel="0" collapsed="false">
      <c r="A883" s="180"/>
      <c r="B883" s="189" t="s">
        <v>114</v>
      </c>
      <c r="C883" s="199" t="n">
        <v>1</v>
      </c>
      <c r="D883" s="199"/>
      <c r="E883" s="212"/>
      <c r="F883" s="200"/>
      <c r="G883" s="192"/>
    </row>
    <row r="884" customFormat="false" ht="15.75" hidden="false" customHeight="false" outlineLevel="0" collapsed="false">
      <c r="A884" s="180"/>
      <c r="B884" s="193" t="s">
        <v>265</v>
      </c>
      <c r="C884" s="193"/>
      <c r="D884" s="193"/>
      <c r="E884" s="193"/>
      <c r="F884" s="193"/>
      <c r="G884" s="194" t="n">
        <f aca="false">C883</f>
        <v>1</v>
      </c>
    </row>
    <row r="886" customFormat="false" ht="15" hidden="false" customHeight="false" outlineLevel="0" collapsed="false">
      <c r="A886" s="182" t="s">
        <v>85</v>
      </c>
      <c r="B886" s="195" t="str">
        <f aca="false">'Orçamento Sintético'!C63</f>
        <v>Controle tecnológico do concreto</v>
      </c>
      <c r="C886" s="177"/>
      <c r="D886" s="177"/>
      <c r="E886" s="177"/>
      <c r="F886" s="210"/>
      <c r="G886" s="210"/>
    </row>
    <row r="887" customFormat="false" ht="15.75" hidden="false" customHeight="false" outlineLevel="0" collapsed="false">
      <c r="A887" s="182"/>
      <c r="B887" s="195"/>
      <c r="C887" s="177"/>
      <c r="D887" s="177"/>
      <c r="E887" s="177"/>
      <c r="F887" s="209"/>
      <c r="G887" s="211"/>
    </row>
    <row r="888" customFormat="false" ht="15" hidden="false" customHeight="false" outlineLevel="0" collapsed="false">
      <c r="A888" s="180"/>
      <c r="B888" s="185" t="s">
        <v>91</v>
      </c>
      <c r="C888" s="186" t="s">
        <v>109</v>
      </c>
      <c r="D888" s="186" t="s">
        <v>94</v>
      </c>
      <c r="E888" s="187" t="s">
        <v>110</v>
      </c>
      <c r="F888" s="187" t="s">
        <v>93</v>
      </c>
      <c r="G888" s="188" t="s">
        <v>94</v>
      </c>
    </row>
    <row r="889" customFormat="false" ht="15" hidden="false" customHeight="false" outlineLevel="0" collapsed="false">
      <c r="A889" s="180"/>
      <c r="B889" s="189" t="s">
        <v>114</v>
      </c>
      <c r="C889" s="199" t="n">
        <v>12</v>
      </c>
      <c r="D889" s="199"/>
      <c r="E889" s="212"/>
      <c r="F889" s="200"/>
      <c r="G889" s="192"/>
    </row>
    <row r="890" customFormat="false" ht="15.75" hidden="false" customHeight="false" outlineLevel="0" collapsed="false">
      <c r="A890" s="180"/>
      <c r="B890" s="193" t="s">
        <v>265</v>
      </c>
      <c r="C890" s="193"/>
      <c r="D890" s="193"/>
      <c r="E890" s="193"/>
      <c r="F890" s="193"/>
      <c r="G890" s="194" t="n">
        <f aca="false">C889</f>
        <v>12</v>
      </c>
    </row>
  </sheetData>
  <mergeCells count="329">
    <mergeCell ref="A1:G1"/>
    <mergeCell ref="A2:G2"/>
    <mergeCell ref="B10:F10"/>
    <mergeCell ref="B22:F22"/>
    <mergeCell ref="B28:F28"/>
    <mergeCell ref="B35:F35"/>
    <mergeCell ref="B41:F41"/>
    <mergeCell ref="B47:F47"/>
    <mergeCell ref="B53:F53"/>
    <mergeCell ref="B59:F59"/>
    <mergeCell ref="B61:G61"/>
    <mergeCell ref="B67:F67"/>
    <mergeCell ref="B69:G69"/>
    <mergeCell ref="B78:F78"/>
    <mergeCell ref="B80:G80"/>
    <mergeCell ref="B86:F86"/>
    <mergeCell ref="B91:G91"/>
    <mergeCell ref="B107:F107"/>
    <mergeCell ref="B113:F113"/>
    <mergeCell ref="B120:F120"/>
    <mergeCell ref="B125:G125"/>
    <mergeCell ref="B126:B127"/>
    <mergeCell ref="B128:B129"/>
    <mergeCell ref="B130:B131"/>
    <mergeCell ref="B134:B135"/>
    <mergeCell ref="B136:B137"/>
    <mergeCell ref="B138:F138"/>
    <mergeCell ref="B143:G143"/>
    <mergeCell ref="B144:B145"/>
    <mergeCell ref="B146:B147"/>
    <mergeCell ref="B149:B150"/>
    <mergeCell ref="B151:B152"/>
    <mergeCell ref="B156:F156"/>
    <mergeCell ref="B161:G161"/>
    <mergeCell ref="B164:B165"/>
    <mergeCell ref="B166:B167"/>
    <mergeCell ref="B168:B169"/>
    <mergeCell ref="B170:B173"/>
    <mergeCell ref="B175:B176"/>
    <mergeCell ref="B177:G177"/>
    <mergeCell ref="B181:F181"/>
    <mergeCell ref="B186:G186"/>
    <mergeCell ref="B195:G195"/>
    <mergeCell ref="B204:G204"/>
    <mergeCell ref="B211:F211"/>
    <mergeCell ref="B216:G216"/>
    <mergeCell ref="B217:B219"/>
    <mergeCell ref="B220:B222"/>
    <mergeCell ref="B223:B225"/>
    <mergeCell ref="B226:B229"/>
    <mergeCell ref="B230:B233"/>
    <mergeCell ref="B234:B238"/>
    <mergeCell ref="B239:B240"/>
    <mergeCell ref="B241:B243"/>
    <mergeCell ref="B244:B245"/>
    <mergeCell ref="B246:B247"/>
    <mergeCell ref="B248:B249"/>
    <mergeCell ref="B252:B253"/>
    <mergeCell ref="B254:B255"/>
    <mergeCell ref="B256:G256"/>
    <mergeCell ref="B264:G264"/>
    <mergeCell ref="B272:F272"/>
    <mergeCell ref="B274:C274"/>
    <mergeCell ref="B275:C275"/>
    <mergeCell ref="B276:C276"/>
    <mergeCell ref="B277:C277"/>
    <mergeCell ref="B290:F290"/>
    <mergeCell ref="E294:F294"/>
    <mergeCell ref="B295:B296"/>
    <mergeCell ref="E295:F295"/>
    <mergeCell ref="E296:F296"/>
    <mergeCell ref="B297:B298"/>
    <mergeCell ref="E297:F297"/>
    <mergeCell ref="E298:F298"/>
    <mergeCell ref="B299:B301"/>
    <mergeCell ref="E299:F299"/>
    <mergeCell ref="E300:F300"/>
    <mergeCell ref="E301:F301"/>
    <mergeCell ref="B302:B304"/>
    <mergeCell ref="E302:F302"/>
    <mergeCell ref="E303:F303"/>
    <mergeCell ref="E304:F304"/>
    <mergeCell ref="B305:B307"/>
    <mergeCell ref="E305:F305"/>
    <mergeCell ref="E306:F306"/>
    <mergeCell ref="E307:F307"/>
    <mergeCell ref="B308:B311"/>
    <mergeCell ref="E308:F308"/>
    <mergeCell ref="E309:F309"/>
    <mergeCell ref="E310:F310"/>
    <mergeCell ref="E311:F311"/>
    <mergeCell ref="B312:B314"/>
    <mergeCell ref="E312:F312"/>
    <mergeCell ref="E313:F313"/>
    <mergeCell ref="E314:F314"/>
    <mergeCell ref="B315:B317"/>
    <mergeCell ref="E315:F315"/>
    <mergeCell ref="E316:F316"/>
    <mergeCell ref="E317:F317"/>
    <mergeCell ref="B318:B321"/>
    <mergeCell ref="E318:F318"/>
    <mergeCell ref="E319:F319"/>
    <mergeCell ref="E320:F320"/>
    <mergeCell ref="E321:F321"/>
    <mergeCell ref="B322:B327"/>
    <mergeCell ref="E322:F322"/>
    <mergeCell ref="E323:F323"/>
    <mergeCell ref="E324:F324"/>
    <mergeCell ref="E325:F325"/>
    <mergeCell ref="E326:F326"/>
    <mergeCell ref="E327:F327"/>
    <mergeCell ref="B328:B330"/>
    <mergeCell ref="E328:F328"/>
    <mergeCell ref="E329:F329"/>
    <mergeCell ref="E330:F330"/>
    <mergeCell ref="B331:B332"/>
    <mergeCell ref="E331:F331"/>
    <mergeCell ref="E332:F332"/>
    <mergeCell ref="B333:B334"/>
    <mergeCell ref="E333:F333"/>
    <mergeCell ref="E334:F334"/>
    <mergeCell ref="B335:B336"/>
    <mergeCell ref="E335:F335"/>
    <mergeCell ref="E336:F336"/>
    <mergeCell ref="E337:F337"/>
    <mergeCell ref="E338:F338"/>
    <mergeCell ref="B339:F339"/>
    <mergeCell ref="E343:F343"/>
    <mergeCell ref="E344:F344"/>
    <mergeCell ref="E345:F345"/>
    <mergeCell ref="B346:F346"/>
    <mergeCell ref="E350:F350"/>
    <mergeCell ref="B351:B352"/>
    <mergeCell ref="E351:F351"/>
    <mergeCell ref="E352:F352"/>
    <mergeCell ref="B353:B354"/>
    <mergeCell ref="E353:F353"/>
    <mergeCell ref="E354:F354"/>
    <mergeCell ref="B355:F355"/>
    <mergeCell ref="E359:F359"/>
    <mergeCell ref="B360:B361"/>
    <mergeCell ref="E360:F360"/>
    <mergeCell ref="E361:F361"/>
    <mergeCell ref="B362:B363"/>
    <mergeCell ref="E362:F362"/>
    <mergeCell ref="E363:F363"/>
    <mergeCell ref="B364:B366"/>
    <mergeCell ref="E364:F364"/>
    <mergeCell ref="E365:F365"/>
    <mergeCell ref="E366:F366"/>
    <mergeCell ref="B367:B369"/>
    <mergeCell ref="E367:F367"/>
    <mergeCell ref="E368:F368"/>
    <mergeCell ref="E369:F369"/>
    <mergeCell ref="B370:B372"/>
    <mergeCell ref="E370:F370"/>
    <mergeCell ref="E371:F371"/>
    <mergeCell ref="E372:F372"/>
    <mergeCell ref="B373:B376"/>
    <mergeCell ref="E373:F373"/>
    <mergeCell ref="E374:F374"/>
    <mergeCell ref="E375:F375"/>
    <mergeCell ref="E376:F376"/>
    <mergeCell ref="B377:B379"/>
    <mergeCell ref="E377:F377"/>
    <mergeCell ref="E378:F378"/>
    <mergeCell ref="E379:F379"/>
    <mergeCell ref="B380:B382"/>
    <mergeCell ref="E380:F380"/>
    <mergeCell ref="E381:F381"/>
    <mergeCell ref="E382:F382"/>
    <mergeCell ref="B383:B386"/>
    <mergeCell ref="E383:F383"/>
    <mergeCell ref="E384:F384"/>
    <mergeCell ref="E385:F385"/>
    <mergeCell ref="E386:F386"/>
    <mergeCell ref="B387:B392"/>
    <mergeCell ref="E387:F387"/>
    <mergeCell ref="E388:F388"/>
    <mergeCell ref="E389:F389"/>
    <mergeCell ref="E390:F390"/>
    <mergeCell ref="E391:F391"/>
    <mergeCell ref="E392:F392"/>
    <mergeCell ref="B393:B395"/>
    <mergeCell ref="E393:F393"/>
    <mergeCell ref="E394:F394"/>
    <mergeCell ref="E395:F395"/>
    <mergeCell ref="B396:B397"/>
    <mergeCell ref="E396:F396"/>
    <mergeCell ref="E397:F397"/>
    <mergeCell ref="B398:F398"/>
    <mergeCell ref="B403:G403"/>
    <mergeCell ref="B404:B405"/>
    <mergeCell ref="B406:B407"/>
    <mergeCell ref="B408:B409"/>
    <mergeCell ref="B410:B411"/>
    <mergeCell ref="B412:B413"/>
    <mergeCell ref="B414:B415"/>
    <mergeCell ref="B416:B417"/>
    <mergeCell ref="B418:B419"/>
    <mergeCell ref="B420:G420"/>
    <mergeCell ref="B421:B422"/>
    <mergeCell ref="B423:B424"/>
    <mergeCell ref="B425:B426"/>
    <mergeCell ref="B427:B428"/>
    <mergeCell ref="B429:B430"/>
    <mergeCell ref="B431:B432"/>
    <mergeCell ref="B433:B434"/>
    <mergeCell ref="B435:B436"/>
    <mergeCell ref="B437:F437"/>
    <mergeCell ref="B442:G442"/>
    <mergeCell ref="B443:B444"/>
    <mergeCell ref="B445:B446"/>
    <mergeCell ref="B447:B448"/>
    <mergeCell ref="B449:B450"/>
    <mergeCell ref="B451:B452"/>
    <mergeCell ref="B453:B454"/>
    <mergeCell ref="B455:B456"/>
    <mergeCell ref="B457:B458"/>
    <mergeCell ref="B459:G459"/>
    <mergeCell ref="B460:B461"/>
    <mergeCell ref="B462:B463"/>
    <mergeCell ref="B464:B465"/>
    <mergeCell ref="B466:B467"/>
    <mergeCell ref="B468:B469"/>
    <mergeCell ref="B470:B471"/>
    <mergeCell ref="B472:B473"/>
    <mergeCell ref="B474:B475"/>
    <mergeCell ref="B476:G476"/>
    <mergeCell ref="B483:G483"/>
    <mergeCell ref="B488:G488"/>
    <mergeCell ref="B493:F493"/>
    <mergeCell ref="B498:G498"/>
    <mergeCell ref="B499:B501"/>
    <mergeCell ref="B502:B504"/>
    <mergeCell ref="B505:B506"/>
    <mergeCell ref="B507:B508"/>
    <mergeCell ref="B509:B512"/>
    <mergeCell ref="B513:B515"/>
    <mergeCell ref="B516:B517"/>
    <mergeCell ref="B519:G519"/>
    <mergeCell ref="B523:G523"/>
    <mergeCell ref="B535:F535"/>
    <mergeCell ref="B540:G540"/>
    <mergeCell ref="B541:B543"/>
    <mergeCell ref="B544:B546"/>
    <mergeCell ref="B547:B549"/>
    <mergeCell ref="B550:B553"/>
    <mergeCell ref="B554:B557"/>
    <mergeCell ref="B558:B562"/>
    <mergeCell ref="B563:B564"/>
    <mergeCell ref="B565:B567"/>
    <mergeCell ref="B568:G568"/>
    <mergeCell ref="B572:G572"/>
    <mergeCell ref="B575:F575"/>
    <mergeCell ref="B580:G580"/>
    <mergeCell ref="B581:B583"/>
    <mergeCell ref="B584:B586"/>
    <mergeCell ref="B587:B589"/>
    <mergeCell ref="B590:B593"/>
    <mergeCell ref="B594:B597"/>
    <mergeCell ref="B598:B602"/>
    <mergeCell ref="B603:B604"/>
    <mergeCell ref="B605:B607"/>
    <mergeCell ref="B608:G608"/>
    <mergeCell ref="B612:G612"/>
    <mergeCell ref="B615:F615"/>
    <mergeCell ref="B620:G620"/>
    <mergeCell ref="B621:B623"/>
    <mergeCell ref="B624:B626"/>
    <mergeCell ref="B627:B629"/>
    <mergeCell ref="B630:B633"/>
    <mergeCell ref="B634:B637"/>
    <mergeCell ref="B638:B642"/>
    <mergeCell ref="B643:B644"/>
    <mergeCell ref="B645:B647"/>
    <mergeCell ref="B648:G648"/>
    <mergeCell ref="B652:G652"/>
    <mergeCell ref="B655:F655"/>
    <mergeCell ref="B660:G660"/>
    <mergeCell ref="B672:F672"/>
    <mergeCell ref="B678:G678"/>
    <mergeCell ref="B685:G685"/>
    <mergeCell ref="B693:F693"/>
    <mergeCell ref="B698:G698"/>
    <mergeCell ref="B703:F703"/>
    <mergeCell ref="B707:G707"/>
    <mergeCell ref="B712:F712"/>
    <mergeCell ref="B719:F719"/>
    <mergeCell ref="B726:F726"/>
    <mergeCell ref="B733:F733"/>
    <mergeCell ref="B740:F740"/>
    <mergeCell ref="B746:F746"/>
    <mergeCell ref="B753:G753"/>
    <mergeCell ref="B754:B756"/>
    <mergeCell ref="B757:B759"/>
    <mergeCell ref="B760:B762"/>
    <mergeCell ref="B763:B766"/>
    <mergeCell ref="B767:B770"/>
    <mergeCell ref="B771:B775"/>
    <mergeCell ref="B776:B777"/>
    <mergeCell ref="B778:B780"/>
    <mergeCell ref="B781:B782"/>
    <mergeCell ref="B783:B784"/>
    <mergeCell ref="B785:B786"/>
    <mergeCell ref="B789:B790"/>
    <mergeCell ref="B791:B792"/>
    <mergeCell ref="B793:G793"/>
    <mergeCell ref="B801:G801"/>
    <mergeCell ref="B809:F809"/>
    <mergeCell ref="B817:F817"/>
    <mergeCell ref="D823:E823"/>
    <mergeCell ref="D824:E824"/>
    <mergeCell ref="D825:E825"/>
    <mergeCell ref="D826:E826"/>
    <mergeCell ref="D827:E827"/>
    <mergeCell ref="B828:F828"/>
    <mergeCell ref="B829:F829"/>
    <mergeCell ref="B830:F830"/>
    <mergeCell ref="B836:E836"/>
    <mergeCell ref="B841:B842"/>
    <mergeCell ref="B843:F843"/>
    <mergeCell ref="B850:E850"/>
    <mergeCell ref="B856:D856"/>
    <mergeCell ref="B863:F863"/>
    <mergeCell ref="B872:F872"/>
    <mergeCell ref="B878:F878"/>
    <mergeCell ref="B884:F884"/>
    <mergeCell ref="B890:F89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2" manualBreakCount="2">
    <brk id="3" man="true" max="65535" min="0"/>
    <brk id="6" man="true" max="65535" min="0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14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D25" activeCellId="0" sqref="D25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45.29"/>
    <col collapsed="false" customWidth="true" hidden="false" outlineLevel="0" max="3" min="3" style="0" width="11.29"/>
    <col collapsed="false" customWidth="true" hidden="false" outlineLevel="0" max="4" min="4" style="0" width="9.14"/>
    <col collapsed="false" customWidth="true" hidden="false" outlineLevel="0" max="5" min="5" style="0" width="11.57"/>
    <col collapsed="false" customWidth="true" hidden="false" outlineLevel="0" max="6" min="6" style="0" width="16.29"/>
    <col collapsed="false" customWidth="true" hidden="false" outlineLevel="0" max="1025" min="7" style="0" width="8.67"/>
  </cols>
  <sheetData>
    <row r="1" s="8" customFormat="true" ht="20.25" hidden="false" customHeight="true" outlineLevel="0" collapsed="false">
      <c r="A1" s="7" t="s">
        <v>266</v>
      </c>
      <c r="B1" s="7"/>
      <c r="C1" s="7"/>
      <c r="D1" s="7"/>
      <c r="E1" s="7"/>
      <c r="F1" s="7"/>
      <c r="G1" s="318"/>
    </row>
    <row r="2" s="8" customFormat="true" ht="56.25" hidden="false" customHeight="true" outlineLevel="0" collapsed="false">
      <c r="A2" s="7"/>
      <c r="B2" s="7"/>
      <c r="C2" s="7"/>
      <c r="D2" s="7"/>
      <c r="E2" s="7"/>
      <c r="F2" s="7"/>
      <c r="G2" s="319"/>
    </row>
    <row r="3" s="6" customFormat="true" ht="30.75" hidden="false" customHeight="true" outlineLevel="0" collapsed="false">
      <c r="A3" s="320" t="s">
        <v>2</v>
      </c>
      <c r="B3" s="320"/>
      <c r="C3" s="320"/>
      <c r="D3" s="320"/>
      <c r="E3" s="320"/>
      <c r="F3" s="320"/>
    </row>
    <row r="4" s="6" customFormat="true" ht="25.5" hidden="false" customHeight="false" outlineLevel="0" collapsed="false">
      <c r="A4" s="321" t="s">
        <v>8</v>
      </c>
      <c r="B4" s="322" t="s">
        <v>10</v>
      </c>
      <c r="C4" s="323" t="s">
        <v>267</v>
      </c>
      <c r="D4" s="324" t="s">
        <v>268</v>
      </c>
      <c r="E4" s="325" t="s">
        <v>269</v>
      </c>
      <c r="F4" s="326" t="s">
        <v>270</v>
      </c>
    </row>
    <row r="5" s="6" customFormat="true" ht="20.1" hidden="false" customHeight="true" outlineLevel="0" collapsed="false">
      <c r="A5" s="327" t="n">
        <v>1</v>
      </c>
      <c r="B5" s="328" t="str">
        <f aca="false">'Orçamento Sintético'!C7</f>
        <v>SERVIÇOS PRELIMINARES</v>
      </c>
      <c r="C5" s="329" t="n">
        <f aca="false">'Orçamento Sintético'!G7</f>
        <v>17512.31</v>
      </c>
      <c r="D5" s="330" t="n">
        <f aca="false">C5/$C$11</f>
        <v>0.100911006503781</v>
      </c>
      <c r="E5" s="329" t="n">
        <f aca="false">C5*BDI!D27</f>
        <v>5476.099337</v>
      </c>
      <c r="F5" s="331" t="n">
        <f aca="false">C5+E5</f>
        <v>22988.409337</v>
      </c>
    </row>
    <row r="6" s="6" customFormat="true" ht="20.1" hidden="false" customHeight="true" outlineLevel="0" collapsed="false">
      <c r="A6" s="327" t="n">
        <v>2</v>
      </c>
      <c r="B6" s="332" t="str">
        <f aca="false">'Orçamento Sintético'!C19</f>
        <v>ESTRUTURA/RECUPERAÇÃO</v>
      </c>
      <c r="C6" s="329" t="n">
        <f aca="false">'Orçamento Sintético'!G19</f>
        <v>98122.97</v>
      </c>
      <c r="D6" s="330" t="n">
        <f aca="false">C6/$C$11</f>
        <v>0.565412995991982</v>
      </c>
      <c r="E6" s="329" t="n">
        <f aca="false">C6*BDI!D27</f>
        <v>30683.052719</v>
      </c>
      <c r="F6" s="331" t="n">
        <f aca="false">C6+E6</f>
        <v>128806.022719</v>
      </c>
    </row>
    <row r="7" s="6" customFormat="true" ht="20.1" hidden="false" customHeight="true" outlineLevel="0" collapsed="false">
      <c r="A7" s="327" t="n">
        <v>3</v>
      </c>
      <c r="B7" s="328" t="str">
        <f aca="false">'Orçamento Sintético'!C42</f>
        <v>INSTALAÇÕES HIDROSSANITÁRIAS</v>
      </c>
      <c r="C7" s="329" t="n">
        <f aca="false">'Orçamento Sintético'!G42</f>
        <v>1908.36</v>
      </c>
      <c r="D7" s="330" t="n">
        <f aca="false">C7/$C$11</f>
        <v>0.010996523495276</v>
      </c>
      <c r="E7" s="329" t="n">
        <f aca="false">C7*BDI!D27</f>
        <v>596.744172</v>
      </c>
      <c r="F7" s="331" t="n">
        <f aca="false">C7+E7</f>
        <v>2505.104172</v>
      </c>
      <c r="J7" s="6" t="s">
        <v>271</v>
      </c>
    </row>
    <row r="8" s="6" customFormat="true" ht="20.1" hidden="false" customHeight="true" outlineLevel="0" collapsed="false">
      <c r="A8" s="327" t="n">
        <v>4</v>
      </c>
      <c r="B8" s="328" t="str">
        <f aca="false">'Orçamento Sintético'!C49</f>
        <v>IMPERMEABILIZAÇÃO COM CRISTALIZANTE</v>
      </c>
      <c r="C8" s="329" t="n">
        <f aca="false">'Orçamento Sintético'!G49</f>
        <v>11249.69</v>
      </c>
      <c r="D8" s="330" t="n">
        <f aca="false">C8/$C$11</f>
        <v>0.0648239747215258</v>
      </c>
      <c r="E8" s="329" t="n">
        <f aca="false">C8*BDI!D27</f>
        <v>3517.778063</v>
      </c>
      <c r="F8" s="331" t="n">
        <f aca="false">C8+E8</f>
        <v>14767.468063</v>
      </c>
    </row>
    <row r="9" s="6" customFormat="true" ht="20.1" hidden="false" customHeight="true" outlineLevel="0" collapsed="false">
      <c r="A9" s="327" t="n">
        <v>5</v>
      </c>
      <c r="B9" s="328" t="str">
        <f aca="false">'Orçamento Sintético'!C51</f>
        <v>SERVIÇOS COMPLEMENTARES</v>
      </c>
      <c r="C9" s="329" t="n">
        <f aca="false">'Orçamento Sintético'!G51</f>
        <v>5011.68</v>
      </c>
      <c r="D9" s="330" t="n">
        <f aca="false">C9/$C$11</f>
        <v>0.0288787528929576</v>
      </c>
      <c r="E9" s="329" t="n">
        <f aca="false">C9*BDI!D27</f>
        <v>1567.152336</v>
      </c>
      <c r="F9" s="331" t="n">
        <f aca="false">C9+E9</f>
        <v>6578.832336</v>
      </c>
    </row>
    <row r="10" s="6" customFormat="true" ht="20.1" hidden="false" customHeight="true" outlineLevel="0" collapsed="false">
      <c r="A10" s="327" t="n">
        <v>6</v>
      </c>
      <c r="B10" s="328" t="str">
        <f aca="false">'Orçamento Sintético'!C59</f>
        <v>ADMINISTRAÇÃO LOCAL</v>
      </c>
      <c r="C10" s="329" t="n">
        <f aca="false">'Orçamento Sintético'!G59</f>
        <v>39737.11</v>
      </c>
      <c r="D10" s="330" t="n">
        <f aca="false">C10/$C$11</f>
        <v>0.228976746394478</v>
      </c>
      <c r="E10" s="329" t="n">
        <f aca="false">C10*BDI!D27</f>
        <v>12425.794297</v>
      </c>
      <c r="F10" s="331" t="n">
        <f aca="false">C10+E10</f>
        <v>52162.904297</v>
      </c>
    </row>
    <row r="11" s="55" customFormat="true" ht="20.1" hidden="false" customHeight="true" outlineLevel="0" collapsed="false">
      <c r="A11" s="333"/>
      <c r="B11" s="334" t="s">
        <v>272</v>
      </c>
      <c r="C11" s="335" t="n">
        <f aca="false">SUM(C5:C10)</f>
        <v>173542.12</v>
      </c>
      <c r="D11" s="336" t="n">
        <f aca="false">SUM(D5:D10)</f>
        <v>1</v>
      </c>
      <c r="E11" s="335" t="n">
        <f aca="false">SUM(E5:E10)</f>
        <v>54266.620924</v>
      </c>
      <c r="F11" s="337" t="n">
        <f aca="false">SUM(F5:F10)</f>
        <v>227808.740924</v>
      </c>
    </row>
    <row r="12" s="55" customFormat="true" ht="20.1" hidden="false" customHeight="true" outlineLevel="0" collapsed="false">
      <c r="A12" s="333"/>
      <c r="B12" s="334" t="s">
        <v>269</v>
      </c>
      <c r="C12" s="335" t="n">
        <f aca="false">C11*BDI!D27</f>
        <v>54266.620924</v>
      </c>
      <c r="D12" s="338"/>
      <c r="E12" s="335"/>
      <c r="F12" s="337"/>
    </row>
    <row r="13" s="55" customFormat="true" ht="20.1" hidden="false" customHeight="true" outlineLevel="0" collapsed="false">
      <c r="A13" s="339"/>
      <c r="B13" s="340" t="s">
        <v>273</v>
      </c>
      <c r="C13" s="341" t="n">
        <f aca="false">SUM(C11:C12)</f>
        <v>227808.740924</v>
      </c>
      <c r="D13" s="342"/>
      <c r="E13" s="341"/>
      <c r="F13" s="343"/>
    </row>
    <row r="14" customFormat="false" ht="15" hidden="false" customHeight="false" outlineLevel="0" collapsed="false">
      <c r="A14" s="344"/>
      <c r="B14" s="344"/>
      <c r="C14" s="344"/>
      <c r="D14" s="344"/>
      <c r="E14" s="344"/>
      <c r="F14" s="344"/>
    </row>
  </sheetData>
  <mergeCells count="2">
    <mergeCell ref="A1:F2"/>
    <mergeCell ref="A3:F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446"/>
  <sheetViews>
    <sheetView showFormulas="false" showGridLines="true" showRowColHeaders="true" showZeros="true" rightToLeft="false" tabSelected="false" showOutlineSymbols="true" defaultGridColor="true" view="normal" topLeftCell="A426" colorId="64" zoomScale="90" zoomScaleNormal="90" zoomScalePageLayoutView="100" workbookViewId="0">
      <selection pane="topLeft" activeCell="F83" activeCellId="0" sqref="F83"/>
    </sheetView>
  </sheetViews>
  <sheetFormatPr defaultRowHeight="15" zeroHeight="false" outlineLevelRow="0" outlineLevelCol="0"/>
  <cols>
    <col collapsed="false" customWidth="true" hidden="false" outlineLevel="0" max="1" min="1" style="345" width="9.14"/>
    <col collapsed="false" customWidth="true" hidden="false" outlineLevel="0" max="2" min="2" style="345" width="16.14"/>
    <col collapsed="false" customWidth="true" hidden="false" outlineLevel="0" max="3" min="3" style="0" width="97.43"/>
    <col collapsed="false" customWidth="true" hidden="false" outlineLevel="0" max="4" min="4" style="346" width="9.14"/>
    <col collapsed="false" customWidth="true" hidden="false" outlineLevel="0" max="5" min="5" style="346" width="9.71"/>
    <col collapsed="false" customWidth="true" hidden="false" outlineLevel="0" max="6" min="6" style="346" width="10.71"/>
    <col collapsed="false" customWidth="true" hidden="false" outlineLevel="0" max="7" min="7" style="346" width="11.86"/>
    <col collapsed="false" customWidth="true" hidden="false" outlineLevel="0" max="8" min="8" style="0" width="8.67"/>
    <col collapsed="false" customWidth="true" hidden="false" outlineLevel="0" max="9" min="9" style="345" width="12.14"/>
    <col collapsed="false" customWidth="true" hidden="false" outlineLevel="0" max="10" min="10" style="0" width="10"/>
    <col collapsed="false" customWidth="true" hidden="false" outlineLevel="0" max="11" min="11" style="0" width="10.85"/>
    <col collapsed="false" customWidth="true" hidden="false" outlineLevel="0" max="1025" min="12" style="0" width="8.67"/>
  </cols>
  <sheetData>
    <row r="1" s="6" customFormat="true" ht="63" hidden="false" customHeight="true" outlineLevel="0" collapsed="false">
      <c r="A1" s="347"/>
      <c r="B1" s="348" t="s">
        <v>274</v>
      </c>
      <c r="C1" s="348"/>
      <c r="D1" s="348"/>
      <c r="E1" s="348"/>
      <c r="F1" s="348"/>
      <c r="G1" s="348"/>
      <c r="I1" s="346"/>
      <c r="J1" s="346"/>
      <c r="K1" s="346"/>
    </row>
    <row r="2" s="6" customFormat="true" ht="16.5" hidden="false" customHeight="true" outlineLevel="0" collapsed="false">
      <c r="A2" s="347"/>
      <c r="B2" s="349" t="s">
        <v>275</v>
      </c>
      <c r="C2" s="350" t="s">
        <v>276</v>
      </c>
      <c r="D2" s="350"/>
      <c r="E2" s="350"/>
      <c r="F2" s="350"/>
      <c r="G2" s="350"/>
      <c r="I2" s="346"/>
      <c r="J2" s="346"/>
      <c r="K2" s="346"/>
    </row>
    <row r="3" customFormat="false" ht="15" hidden="false" customHeight="false" outlineLevel="0" collapsed="false">
      <c r="I3" s="346"/>
      <c r="J3" s="346"/>
      <c r="K3" s="346"/>
    </row>
    <row r="4" customFormat="false" ht="15.75" hidden="false" customHeight="false" outlineLevel="0" collapsed="false">
      <c r="I4" s="346"/>
      <c r="J4" s="346"/>
      <c r="K4" s="346"/>
    </row>
    <row r="5" s="346" customFormat="true" ht="28.5" hidden="false" customHeight="true" outlineLevel="0" collapsed="false">
      <c r="A5" s="351"/>
      <c r="B5" s="352" t="s">
        <v>277</v>
      </c>
      <c r="C5" s="353" t="s">
        <v>278</v>
      </c>
      <c r="D5" s="354" t="s">
        <v>17</v>
      </c>
      <c r="E5" s="354"/>
      <c r="F5" s="354"/>
      <c r="G5" s="354"/>
    </row>
    <row r="6" customFormat="false" ht="15" hidden="false" customHeight="false" outlineLevel="0" collapsed="false">
      <c r="B6" s="355" t="s">
        <v>279</v>
      </c>
      <c r="C6" s="356" t="s">
        <v>280</v>
      </c>
      <c r="D6" s="357" t="s">
        <v>281</v>
      </c>
      <c r="E6" s="357" t="s">
        <v>282</v>
      </c>
      <c r="F6" s="358" t="s">
        <v>283</v>
      </c>
      <c r="G6" s="359" t="s">
        <v>284</v>
      </c>
      <c r="I6" s="346"/>
      <c r="J6" s="346"/>
      <c r="K6" s="346"/>
    </row>
    <row r="7" s="346" customFormat="true" ht="15" hidden="false" customHeight="false" outlineLevel="0" collapsed="false">
      <c r="A7" s="351"/>
      <c r="B7" s="360" t="s">
        <v>285</v>
      </c>
      <c r="C7" s="361" t="s">
        <v>286</v>
      </c>
      <c r="D7" s="362" t="s">
        <v>65</v>
      </c>
      <c r="E7" s="361" t="n">
        <v>1</v>
      </c>
      <c r="F7" s="361" t="n">
        <v>4.21</v>
      </c>
      <c r="G7" s="363" t="n">
        <f aca="false">E7*F7</f>
        <v>4.21</v>
      </c>
    </row>
    <row r="8" s="346" customFormat="true" ht="15" hidden="false" customHeight="false" outlineLevel="0" collapsed="false">
      <c r="A8" s="351"/>
      <c r="B8" s="360" t="s">
        <v>287</v>
      </c>
      <c r="C8" s="361" t="s">
        <v>288</v>
      </c>
      <c r="D8" s="362" t="s">
        <v>65</v>
      </c>
      <c r="E8" s="361" t="n">
        <v>4</v>
      </c>
      <c r="F8" s="361" t="n">
        <v>5.91</v>
      </c>
      <c r="G8" s="363" t="n">
        <f aca="false">E8*F8</f>
        <v>23.64</v>
      </c>
    </row>
    <row r="9" s="346" customFormat="true" ht="15" hidden="false" customHeight="false" outlineLevel="0" collapsed="false">
      <c r="A9" s="351"/>
      <c r="B9" s="360" t="s">
        <v>289</v>
      </c>
      <c r="C9" s="361" t="s">
        <v>290</v>
      </c>
      <c r="D9" s="362" t="s">
        <v>291</v>
      </c>
      <c r="E9" s="361" t="n">
        <v>1</v>
      </c>
      <c r="F9" s="361" t="n">
        <v>300</v>
      </c>
      <c r="G9" s="363" t="n">
        <f aca="false">E9*F9</f>
        <v>300</v>
      </c>
      <c r="I9" s="351"/>
    </row>
    <row r="10" s="346" customFormat="true" ht="15" hidden="false" customHeight="false" outlineLevel="0" collapsed="false">
      <c r="A10" s="351"/>
      <c r="B10" s="360" t="s">
        <v>292</v>
      </c>
      <c r="C10" s="361" t="s">
        <v>293</v>
      </c>
      <c r="D10" s="362" t="s">
        <v>294</v>
      </c>
      <c r="E10" s="361" t="n">
        <v>0.11</v>
      </c>
      <c r="F10" s="361" t="n">
        <v>12.71</v>
      </c>
      <c r="G10" s="363" t="n">
        <f aca="false">E10*F10</f>
        <v>1.3981</v>
      </c>
      <c r="H10" s="351"/>
      <c r="I10" s="351"/>
      <c r="J10" s="351"/>
    </row>
    <row r="11" s="346" customFormat="true" ht="15" hidden="false" customHeight="false" outlineLevel="0" collapsed="false">
      <c r="A11" s="351"/>
      <c r="B11" s="360" t="s">
        <v>295</v>
      </c>
      <c r="C11" s="361" t="s">
        <v>296</v>
      </c>
      <c r="D11" s="362" t="s">
        <v>297</v>
      </c>
      <c r="E11" s="361" t="n">
        <v>1</v>
      </c>
      <c r="F11" s="364" t="n">
        <v>15.08</v>
      </c>
      <c r="G11" s="363" t="n">
        <f aca="false">E11*F11</f>
        <v>15.08</v>
      </c>
      <c r="H11" s="351"/>
      <c r="I11" s="351"/>
      <c r="J11" s="351"/>
    </row>
    <row r="12" s="346" customFormat="true" ht="15" hidden="false" customHeight="false" outlineLevel="0" collapsed="false">
      <c r="A12" s="351"/>
      <c r="B12" s="360" t="s">
        <v>298</v>
      </c>
      <c r="C12" s="361" t="s">
        <v>299</v>
      </c>
      <c r="D12" s="362" t="s">
        <v>297</v>
      </c>
      <c r="E12" s="361" t="n">
        <v>2</v>
      </c>
      <c r="F12" s="365" t="n">
        <v>12.22</v>
      </c>
      <c r="G12" s="363" t="n">
        <f aca="false">E12*F12</f>
        <v>24.44</v>
      </c>
      <c r="H12" s="351"/>
      <c r="I12" s="351"/>
      <c r="J12" s="351"/>
    </row>
    <row r="13" s="346" customFormat="true" ht="26.25" hidden="false" customHeight="false" outlineLevel="0" collapsed="false">
      <c r="A13" s="351"/>
      <c r="B13" s="360" t="s">
        <v>300</v>
      </c>
      <c r="C13" s="361" t="s">
        <v>301</v>
      </c>
      <c r="D13" s="362" t="s">
        <v>302</v>
      </c>
      <c r="E13" s="361" t="n">
        <v>0.01</v>
      </c>
      <c r="F13" s="361" t="n">
        <v>237.51</v>
      </c>
      <c r="G13" s="363" t="n">
        <f aca="false">E13*F13</f>
        <v>2.3751</v>
      </c>
      <c r="H13" s="351"/>
      <c r="I13" s="351"/>
      <c r="J13" s="351"/>
    </row>
    <row r="14" customFormat="false" ht="15.75" hidden="false" customHeight="false" outlineLevel="0" collapsed="false">
      <c r="B14" s="366"/>
      <c r="C14" s="367"/>
      <c r="D14" s="368"/>
      <c r="E14" s="368"/>
      <c r="F14" s="369"/>
      <c r="G14" s="370" t="n">
        <f aca="false">SUM(G7:G13)</f>
        <v>371.1432</v>
      </c>
      <c r="H14" s="351"/>
      <c r="I14" s="351"/>
      <c r="J14" s="351"/>
    </row>
    <row r="15" customFormat="false" ht="15" hidden="false" customHeight="false" outlineLevel="0" collapsed="false">
      <c r="H15" s="351"/>
      <c r="I15" s="351"/>
      <c r="J15" s="351"/>
    </row>
    <row r="16" customFormat="false" ht="15.75" hidden="false" customHeight="false" outlineLevel="0" collapsed="false">
      <c r="H16" s="351"/>
      <c r="I16" s="351"/>
      <c r="J16" s="351"/>
    </row>
    <row r="17" s="375" customFormat="true" ht="26.25" hidden="false" customHeight="true" outlineLevel="0" collapsed="false">
      <c r="A17" s="371"/>
      <c r="B17" s="372" t="s">
        <v>303</v>
      </c>
      <c r="C17" s="373" t="s">
        <v>304</v>
      </c>
      <c r="D17" s="374" t="s">
        <v>19</v>
      </c>
      <c r="E17" s="374"/>
      <c r="F17" s="374"/>
      <c r="G17" s="374"/>
      <c r="H17" s="351"/>
      <c r="I17" s="351"/>
      <c r="J17" s="351"/>
      <c r="K17" s="346"/>
      <c r="L17" s="346"/>
      <c r="M17" s="346"/>
    </row>
    <row r="18" customFormat="false" ht="15" hidden="false" customHeight="false" outlineLevel="0" collapsed="false">
      <c r="B18" s="376" t="s">
        <v>279</v>
      </c>
      <c r="C18" s="377" t="s">
        <v>280</v>
      </c>
      <c r="D18" s="378" t="s">
        <v>281</v>
      </c>
      <c r="E18" s="378" t="s">
        <v>282</v>
      </c>
      <c r="F18" s="379" t="s">
        <v>283</v>
      </c>
      <c r="G18" s="380" t="s">
        <v>284</v>
      </c>
      <c r="H18" s="351"/>
      <c r="I18" s="351"/>
      <c r="J18" s="351"/>
      <c r="K18" s="346"/>
      <c r="L18" s="346"/>
      <c r="M18" s="346"/>
    </row>
    <row r="19" customFormat="false" ht="15.75" hidden="false" customHeight="false" outlineLevel="0" collapsed="false">
      <c r="B19" s="381" t="s">
        <v>298</v>
      </c>
      <c r="C19" s="382" t="s">
        <v>299</v>
      </c>
      <c r="D19" s="383" t="s">
        <v>297</v>
      </c>
      <c r="E19" s="364" t="n">
        <f aca="false">18/39</f>
        <v>0.461538461538462</v>
      </c>
      <c r="F19" s="365" t="n">
        <v>12.22</v>
      </c>
      <c r="G19" s="384" t="n">
        <f aca="false">E19*F19</f>
        <v>5.64</v>
      </c>
      <c r="H19" s="351"/>
      <c r="I19" s="351"/>
      <c r="J19" s="351"/>
    </row>
    <row r="20" customFormat="false" ht="15.75" hidden="false" customHeight="false" outlineLevel="0" collapsed="false">
      <c r="B20" s="385"/>
      <c r="C20" s="386"/>
      <c r="D20" s="387"/>
      <c r="E20" s="387"/>
      <c r="F20" s="387"/>
      <c r="G20" s="370" t="n">
        <f aca="false">SUM(G19:G19)</f>
        <v>5.64</v>
      </c>
      <c r="H20" s="351"/>
      <c r="I20" s="351"/>
      <c r="J20" s="351"/>
    </row>
    <row r="21" customFormat="false" ht="15" hidden="false" customHeight="false" outlineLevel="0" collapsed="false">
      <c r="B21" s="388"/>
      <c r="C21" s="158"/>
      <c r="D21" s="389"/>
      <c r="E21" s="389"/>
      <c r="F21" s="389"/>
      <c r="G21" s="390"/>
      <c r="H21" s="351"/>
      <c r="I21" s="351"/>
      <c r="J21" s="351"/>
    </row>
    <row r="22" customFormat="false" ht="12.75" hidden="false" customHeight="true" outlineLevel="0" collapsed="false">
      <c r="H22" s="351"/>
      <c r="I22" s="351"/>
      <c r="J22" s="351"/>
    </row>
    <row r="23" s="375" customFormat="true" ht="26.25" hidden="false" customHeight="true" outlineLevel="0" collapsed="false">
      <c r="A23" s="371"/>
      <c r="B23" s="372" t="s">
        <v>305</v>
      </c>
      <c r="C23" s="373" t="s">
        <v>306</v>
      </c>
      <c r="D23" s="374" t="s">
        <v>65</v>
      </c>
      <c r="E23" s="374"/>
      <c r="F23" s="374"/>
      <c r="G23" s="374"/>
      <c r="H23" s="351"/>
      <c r="I23" s="351"/>
      <c r="J23" s="351"/>
      <c r="K23" s="346"/>
      <c r="L23" s="346"/>
      <c r="M23" s="346"/>
    </row>
    <row r="24" customFormat="false" ht="15" hidden="false" customHeight="false" outlineLevel="0" collapsed="false">
      <c r="B24" s="376" t="s">
        <v>279</v>
      </c>
      <c r="C24" s="377" t="s">
        <v>280</v>
      </c>
      <c r="D24" s="378" t="s">
        <v>281</v>
      </c>
      <c r="E24" s="378" t="s">
        <v>282</v>
      </c>
      <c r="F24" s="379" t="s">
        <v>283</v>
      </c>
      <c r="G24" s="380" t="s">
        <v>284</v>
      </c>
      <c r="H24" s="351"/>
      <c r="I24" s="351"/>
      <c r="J24" s="351"/>
      <c r="K24" s="346"/>
      <c r="L24" s="346"/>
      <c r="M24" s="346"/>
    </row>
    <row r="25" customFormat="false" ht="15" hidden="false" customHeight="false" outlineLevel="0" collapsed="false">
      <c r="B25" s="376" t="s">
        <v>307</v>
      </c>
      <c r="C25" s="391" t="s">
        <v>308</v>
      </c>
      <c r="D25" s="362" t="s">
        <v>297</v>
      </c>
      <c r="E25" s="362" t="n">
        <v>0.0071</v>
      </c>
      <c r="F25" s="392" t="n">
        <v>14.78</v>
      </c>
      <c r="G25" s="384" t="n">
        <f aca="false">E25*F25</f>
        <v>0.104938</v>
      </c>
      <c r="H25" s="351"/>
      <c r="I25" s="351"/>
      <c r="J25" s="351"/>
      <c r="K25" s="346"/>
      <c r="L25" s="346"/>
      <c r="M25" s="346"/>
    </row>
    <row r="26" customFormat="false" ht="15.75" hidden="false" customHeight="false" outlineLevel="0" collapsed="false">
      <c r="B26" s="381" t="s">
        <v>298</v>
      </c>
      <c r="C26" s="382" t="s">
        <v>299</v>
      </c>
      <c r="D26" s="383" t="s">
        <v>297</v>
      </c>
      <c r="E26" s="365" t="n">
        <v>0.014</v>
      </c>
      <c r="F26" s="365" t="n">
        <v>12.22</v>
      </c>
      <c r="G26" s="384" t="n">
        <f aca="false">E26*F26</f>
        <v>0.17108</v>
      </c>
      <c r="H26" s="351"/>
      <c r="I26" s="351"/>
      <c r="J26" s="351"/>
    </row>
    <row r="27" customFormat="false" ht="15.75" hidden="false" customHeight="false" outlineLevel="0" collapsed="false">
      <c r="B27" s="385"/>
      <c r="C27" s="386"/>
      <c r="D27" s="387"/>
      <c r="E27" s="387"/>
      <c r="F27" s="387"/>
      <c r="G27" s="370" t="n">
        <f aca="false">SUM(G25:G26)</f>
        <v>0.276018</v>
      </c>
      <c r="H27" s="351"/>
      <c r="I27" s="351"/>
      <c r="J27" s="351"/>
    </row>
    <row r="28" customFormat="false" ht="15" hidden="false" customHeight="false" outlineLevel="0" collapsed="false">
      <c r="B28" s="388"/>
      <c r="C28" s="158"/>
      <c r="D28" s="389"/>
      <c r="E28" s="389"/>
      <c r="F28" s="389"/>
      <c r="G28" s="390"/>
      <c r="H28" s="351"/>
      <c r="I28" s="351"/>
      <c r="J28" s="351"/>
    </row>
    <row r="29" customFormat="false" ht="15.75" hidden="false" customHeight="false" outlineLevel="0" collapsed="false">
      <c r="H29" s="351"/>
      <c r="I29" s="351"/>
      <c r="J29" s="351"/>
    </row>
    <row r="30" s="375" customFormat="true" ht="26.25" hidden="false" customHeight="true" outlineLevel="0" collapsed="false">
      <c r="A30" s="371"/>
      <c r="B30" s="372" t="s">
        <v>309</v>
      </c>
      <c r="C30" s="373" t="s">
        <v>310</v>
      </c>
      <c r="D30" s="374" t="s">
        <v>65</v>
      </c>
      <c r="E30" s="374"/>
      <c r="F30" s="374"/>
      <c r="G30" s="374"/>
      <c r="H30" s="351"/>
      <c r="I30" s="351"/>
      <c r="J30" s="351"/>
      <c r="K30" s="346"/>
      <c r="L30" s="346"/>
      <c r="M30" s="346"/>
    </row>
    <row r="31" customFormat="false" ht="15" hidden="false" customHeight="false" outlineLevel="0" collapsed="false">
      <c r="B31" s="376" t="s">
        <v>279</v>
      </c>
      <c r="C31" s="377" t="s">
        <v>280</v>
      </c>
      <c r="D31" s="378" t="s">
        <v>281</v>
      </c>
      <c r="E31" s="378" t="s">
        <v>282</v>
      </c>
      <c r="F31" s="379" t="s">
        <v>283</v>
      </c>
      <c r="G31" s="380" t="s">
        <v>284</v>
      </c>
      <c r="H31" s="351"/>
      <c r="I31" s="351"/>
      <c r="J31" s="351"/>
      <c r="K31" s="346"/>
      <c r="L31" s="346"/>
      <c r="M31" s="346"/>
    </row>
    <row r="32" customFormat="false" ht="15" hidden="false" customHeight="false" outlineLevel="0" collapsed="false">
      <c r="B32" s="376" t="s">
        <v>311</v>
      </c>
      <c r="C32" s="391" t="s">
        <v>312</v>
      </c>
      <c r="D32" s="362" t="s">
        <v>297</v>
      </c>
      <c r="E32" s="362" t="n">
        <v>0.25</v>
      </c>
      <c r="F32" s="392" t="n">
        <v>11.85</v>
      </c>
      <c r="G32" s="384" t="n">
        <f aca="false">E32*F32</f>
        <v>2.9625</v>
      </c>
      <c r="H32" s="351"/>
      <c r="I32" s="351"/>
      <c r="J32" s="351"/>
      <c r="K32" s="346"/>
      <c r="L32" s="346"/>
      <c r="M32" s="346"/>
    </row>
    <row r="33" customFormat="false" ht="15.75" hidden="false" customHeight="false" outlineLevel="0" collapsed="false">
      <c r="B33" s="381" t="s">
        <v>313</v>
      </c>
      <c r="C33" s="382" t="s">
        <v>314</v>
      </c>
      <c r="D33" s="383" t="s">
        <v>297</v>
      </c>
      <c r="E33" s="365" t="n">
        <v>0.25</v>
      </c>
      <c r="F33" s="364" t="n">
        <v>15.5</v>
      </c>
      <c r="G33" s="384" t="n">
        <f aca="false">E33*F33</f>
        <v>3.875</v>
      </c>
      <c r="H33" s="351"/>
      <c r="I33" s="351"/>
      <c r="J33" s="351"/>
    </row>
    <row r="34" customFormat="false" ht="15.75" hidden="false" customHeight="false" outlineLevel="0" collapsed="false">
      <c r="B34" s="385"/>
      <c r="C34" s="386"/>
      <c r="D34" s="387"/>
      <c r="E34" s="387"/>
      <c r="F34" s="387"/>
      <c r="G34" s="370" t="n">
        <f aca="false">SUM(G32:G33)</f>
        <v>6.8375</v>
      </c>
      <c r="H34" s="351"/>
      <c r="I34" s="351"/>
      <c r="J34" s="351"/>
    </row>
    <row r="35" customFormat="false" ht="15.75" hidden="false" customHeight="false" outlineLevel="0" collapsed="false">
      <c r="B35" s="393" t="s">
        <v>315</v>
      </c>
      <c r="C35" s="393"/>
      <c r="D35" s="393"/>
      <c r="E35" s="393"/>
      <c r="F35" s="393"/>
      <c r="G35" s="393"/>
      <c r="I35" s="0"/>
    </row>
    <row r="36" customFormat="false" ht="15" hidden="false" customHeight="false" outlineLevel="0" collapsed="false">
      <c r="B36" s="388"/>
      <c r="C36" s="158"/>
      <c r="D36" s="389"/>
      <c r="E36" s="389"/>
      <c r="F36" s="389"/>
      <c r="G36" s="390"/>
      <c r="H36" s="351"/>
      <c r="I36" s="351"/>
      <c r="J36" s="351"/>
    </row>
    <row r="37" customFormat="false" ht="15.75" hidden="false" customHeight="false" outlineLevel="0" collapsed="false">
      <c r="H37" s="351"/>
      <c r="I37" s="351"/>
      <c r="J37" s="351"/>
    </row>
    <row r="38" s="375" customFormat="true" ht="26.25" hidden="false" customHeight="true" outlineLevel="0" collapsed="false">
      <c r="A38" s="371"/>
      <c r="B38" s="372" t="s">
        <v>316</v>
      </c>
      <c r="C38" s="373" t="s">
        <v>317</v>
      </c>
      <c r="D38" s="374" t="s">
        <v>318</v>
      </c>
      <c r="E38" s="374"/>
      <c r="F38" s="374"/>
      <c r="G38" s="374"/>
      <c r="H38" s="351"/>
      <c r="I38" s="351"/>
      <c r="J38" s="351"/>
      <c r="K38" s="346"/>
      <c r="L38" s="346"/>
      <c r="M38" s="346"/>
    </row>
    <row r="39" customFormat="false" ht="15" hidden="false" customHeight="false" outlineLevel="0" collapsed="false">
      <c r="B39" s="376" t="s">
        <v>279</v>
      </c>
      <c r="C39" s="377" t="s">
        <v>280</v>
      </c>
      <c r="D39" s="378" t="s">
        <v>281</v>
      </c>
      <c r="E39" s="378" t="s">
        <v>282</v>
      </c>
      <c r="F39" s="379" t="s">
        <v>283</v>
      </c>
      <c r="G39" s="380" t="s">
        <v>284</v>
      </c>
      <c r="H39" s="351"/>
      <c r="I39" s="351"/>
      <c r="J39" s="351"/>
      <c r="K39" s="346"/>
      <c r="L39" s="346"/>
      <c r="M39" s="346"/>
    </row>
    <row r="40" customFormat="false" ht="15" hidden="false" customHeight="false" outlineLevel="0" collapsed="false">
      <c r="B40" s="381" t="s">
        <v>298</v>
      </c>
      <c r="C40" s="382" t="s">
        <v>299</v>
      </c>
      <c r="D40" s="383" t="s">
        <v>297</v>
      </c>
      <c r="E40" s="365" t="n">
        <v>0.0359</v>
      </c>
      <c r="F40" s="365" t="n">
        <v>12.22</v>
      </c>
      <c r="G40" s="384" t="n">
        <f aca="false">E40*F40</f>
        <v>0.438698</v>
      </c>
      <c r="H40" s="351"/>
      <c r="I40" s="351"/>
      <c r="J40" s="351"/>
      <c r="K40" s="346"/>
      <c r="L40" s="346"/>
      <c r="M40" s="346"/>
    </row>
    <row r="41" customFormat="false" ht="15.75" hidden="false" customHeight="false" outlineLevel="0" collapsed="false">
      <c r="B41" s="381" t="s">
        <v>313</v>
      </c>
      <c r="C41" s="382" t="s">
        <v>314</v>
      </c>
      <c r="D41" s="383" t="s">
        <v>297</v>
      </c>
      <c r="E41" s="365" t="n">
        <f aca="false">0.0183</f>
        <v>0.0183</v>
      </c>
      <c r="F41" s="364" t="n">
        <v>15.5</v>
      </c>
      <c r="G41" s="384" t="n">
        <f aca="false">E41*F41</f>
        <v>0.28365</v>
      </c>
      <c r="H41" s="351"/>
      <c r="I41" s="351"/>
      <c r="J41" s="351"/>
    </row>
    <row r="42" customFormat="false" ht="15.75" hidden="false" customHeight="false" outlineLevel="0" collapsed="false">
      <c r="B42" s="385"/>
      <c r="C42" s="386"/>
      <c r="D42" s="387"/>
      <c r="E42" s="387"/>
      <c r="F42" s="387"/>
      <c r="G42" s="370" t="n">
        <f aca="false">SUM(G40:G41)</f>
        <v>0.722348</v>
      </c>
      <c r="H42" s="351"/>
      <c r="I42" s="351"/>
      <c r="J42" s="351"/>
    </row>
    <row r="43" customFormat="false" ht="15" hidden="false" customHeight="false" outlineLevel="0" collapsed="false">
      <c r="B43" s="388"/>
      <c r="C43" s="158"/>
      <c r="D43" s="389"/>
      <c r="E43" s="389"/>
      <c r="F43" s="389"/>
      <c r="G43" s="390"/>
      <c r="H43" s="351"/>
      <c r="I43" s="351"/>
      <c r="J43" s="351"/>
    </row>
    <row r="44" customFormat="false" ht="15.75" hidden="false" customHeight="false" outlineLevel="0" collapsed="false">
      <c r="H44" s="351"/>
      <c r="I44" s="351"/>
      <c r="J44" s="351"/>
    </row>
    <row r="45" s="375" customFormat="true" ht="26.25" hidden="false" customHeight="true" outlineLevel="0" collapsed="false">
      <c r="A45" s="371"/>
      <c r="B45" s="372" t="s">
        <v>319</v>
      </c>
      <c r="C45" s="373" t="s">
        <v>320</v>
      </c>
      <c r="D45" s="374" t="s">
        <v>65</v>
      </c>
      <c r="E45" s="374"/>
      <c r="F45" s="374"/>
      <c r="G45" s="374"/>
      <c r="H45" s="351"/>
      <c r="I45" s="351"/>
      <c r="J45" s="351"/>
      <c r="K45" s="346"/>
      <c r="L45" s="346"/>
      <c r="M45" s="346"/>
    </row>
    <row r="46" customFormat="false" ht="15" hidden="false" customHeight="false" outlineLevel="0" collapsed="false">
      <c r="B46" s="376" t="s">
        <v>279</v>
      </c>
      <c r="C46" s="377" t="s">
        <v>280</v>
      </c>
      <c r="D46" s="378" t="s">
        <v>281</v>
      </c>
      <c r="E46" s="378" t="s">
        <v>282</v>
      </c>
      <c r="F46" s="379" t="s">
        <v>283</v>
      </c>
      <c r="G46" s="380" t="s">
        <v>284</v>
      </c>
      <c r="H46" s="351"/>
      <c r="I46" s="351"/>
      <c r="J46" s="351"/>
      <c r="K46" s="346"/>
      <c r="L46" s="346"/>
      <c r="M46" s="346"/>
    </row>
    <row r="47" customFormat="false" ht="15" hidden="false" customHeight="false" outlineLevel="0" collapsed="false">
      <c r="B47" s="376" t="s">
        <v>321</v>
      </c>
      <c r="C47" s="394" t="s">
        <v>322</v>
      </c>
      <c r="D47" s="395" t="s">
        <v>297</v>
      </c>
      <c r="E47" s="395" t="n">
        <v>0.3</v>
      </c>
      <c r="F47" s="396" t="n">
        <v>12.11</v>
      </c>
      <c r="G47" s="384" t="n">
        <f aca="false">E47*F47</f>
        <v>3.633</v>
      </c>
      <c r="H47" s="351"/>
      <c r="I47" s="351"/>
      <c r="J47" s="351"/>
      <c r="K47" s="346"/>
      <c r="L47" s="346"/>
      <c r="M47" s="346"/>
    </row>
    <row r="48" customFormat="false" ht="15.75" hidden="false" customHeight="false" outlineLevel="0" collapsed="false">
      <c r="B48" s="381" t="s">
        <v>323</v>
      </c>
      <c r="C48" s="382" t="s">
        <v>324</v>
      </c>
      <c r="D48" s="383" t="s">
        <v>297</v>
      </c>
      <c r="E48" s="365" t="n">
        <v>0.3</v>
      </c>
      <c r="F48" s="365" t="n">
        <v>15.12</v>
      </c>
      <c r="G48" s="384" t="n">
        <f aca="false">E48*F48</f>
        <v>4.536</v>
      </c>
      <c r="H48" s="351"/>
      <c r="I48" s="351"/>
      <c r="J48" s="351"/>
    </row>
    <row r="49" customFormat="false" ht="15.75" hidden="false" customHeight="false" outlineLevel="0" collapsed="false">
      <c r="B49" s="385"/>
      <c r="C49" s="386"/>
      <c r="D49" s="387"/>
      <c r="E49" s="387"/>
      <c r="F49" s="387"/>
      <c r="G49" s="370" t="n">
        <f aca="false">SUM(G47:G48)</f>
        <v>8.169</v>
      </c>
      <c r="H49" s="351"/>
      <c r="I49" s="351"/>
      <c r="J49" s="351"/>
    </row>
    <row r="50" customFormat="false" ht="15.75" hidden="false" customHeight="false" outlineLevel="0" collapsed="false">
      <c r="B50" s="393" t="s">
        <v>325</v>
      </c>
      <c r="C50" s="393"/>
      <c r="D50" s="393"/>
      <c r="E50" s="393"/>
      <c r="F50" s="393"/>
      <c r="G50" s="393"/>
      <c r="I50" s="0"/>
    </row>
    <row r="51" customFormat="false" ht="15" hidden="false" customHeight="false" outlineLevel="0" collapsed="false">
      <c r="B51" s="388"/>
      <c r="C51" s="158"/>
      <c r="D51" s="389"/>
      <c r="E51" s="389"/>
      <c r="F51" s="389"/>
      <c r="G51" s="390"/>
      <c r="H51" s="351"/>
      <c r="I51" s="351"/>
      <c r="J51" s="351"/>
    </row>
    <row r="52" customFormat="false" ht="15.75" hidden="false" customHeight="false" outlineLevel="0" collapsed="false">
      <c r="H52" s="351"/>
      <c r="I52" s="351"/>
      <c r="J52" s="351"/>
    </row>
    <row r="53" s="375" customFormat="true" ht="27.75" hidden="false" customHeight="true" outlineLevel="0" collapsed="false">
      <c r="A53" s="371"/>
      <c r="B53" s="372" t="s">
        <v>326</v>
      </c>
      <c r="C53" s="373" t="s">
        <v>327</v>
      </c>
      <c r="D53" s="374" t="s">
        <v>328</v>
      </c>
      <c r="E53" s="374"/>
      <c r="F53" s="374"/>
      <c r="G53" s="374"/>
      <c r="H53" s="346"/>
      <c r="I53" s="346"/>
      <c r="J53" s="346"/>
      <c r="K53" s="346"/>
      <c r="L53" s="346"/>
      <c r="M53" s="346"/>
    </row>
    <row r="54" customFormat="false" ht="15.75" hidden="false" customHeight="true" outlineLevel="0" collapsed="false">
      <c r="B54" s="376" t="s">
        <v>279</v>
      </c>
      <c r="C54" s="377" t="s">
        <v>280</v>
      </c>
      <c r="D54" s="378" t="s">
        <v>281</v>
      </c>
      <c r="E54" s="378" t="s">
        <v>282</v>
      </c>
      <c r="F54" s="379" t="s">
        <v>283</v>
      </c>
      <c r="G54" s="380" t="s">
        <v>284</v>
      </c>
      <c r="H54" s="346"/>
      <c r="I54" s="346"/>
      <c r="J54" s="346"/>
      <c r="K54" s="346"/>
      <c r="L54" s="346"/>
      <c r="M54" s="346"/>
    </row>
    <row r="55" s="346" customFormat="true" ht="15" hidden="false" customHeight="false" outlineLevel="0" collapsed="false">
      <c r="A55" s="351"/>
      <c r="B55" s="90" t="s">
        <v>329</v>
      </c>
      <c r="C55" s="361" t="s">
        <v>330</v>
      </c>
      <c r="D55" s="397" t="s">
        <v>65</v>
      </c>
      <c r="E55" s="365" t="n">
        <v>1.1</v>
      </c>
      <c r="F55" s="365" t="n">
        <v>5.16</v>
      </c>
      <c r="G55" s="384" t="n">
        <f aca="false">E55*F55</f>
        <v>5.676</v>
      </c>
    </row>
    <row r="56" s="346" customFormat="true" ht="25.5" hidden="false" customHeight="true" outlineLevel="0" collapsed="false">
      <c r="A56" s="351"/>
      <c r="B56" s="398" t="s">
        <v>331</v>
      </c>
      <c r="C56" s="361" t="s">
        <v>332</v>
      </c>
      <c r="D56" s="397" t="s">
        <v>333</v>
      </c>
      <c r="E56" s="365" t="n">
        <v>0.85</v>
      </c>
      <c r="F56" s="364" t="n">
        <v>4.58</v>
      </c>
      <c r="G56" s="384" t="n">
        <f aca="false">E56*F56</f>
        <v>3.893</v>
      </c>
      <c r="I56" s="351"/>
    </row>
    <row r="57" customFormat="false" ht="15.75" hidden="false" customHeight="false" outlineLevel="0" collapsed="false">
      <c r="B57" s="381" t="s">
        <v>298</v>
      </c>
      <c r="C57" s="382" t="s">
        <v>299</v>
      </c>
      <c r="D57" s="383" t="s">
        <v>297</v>
      </c>
      <c r="E57" s="399" t="n">
        <v>0.2</v>
      </c>
      <c r="F57" s="365" t="n">
        <v>12.22</v>
      </c>
      <c r="G57" s="384" t="n">
        <f aca="false">E57*F57</f>
        <v>2.444</v>
      </c>
      <c r="I57" s="0"/>
    </row>
    <row r="58" customFormat="false" ht="15.75" hidden="false" customHeight="false" outlineLevel="0" collapsed="false">
      <c r="B58" s="385"/>
      <c r="C58" s="386"/>
      <c r="D58" s="387"/>
      <c r="E58" s="387"/>
      <c r="F58" s="387"/>
      <c r="G58" s="370" t="n">
        <f aca="false">SUM(G55:G57)</f>
        <v>12.013</v>
      </c>
      <c r="I58" s="0"/>
    </row>
    <row r="59" customFormat="false" ht="15.75" hidden="false" customHeight="false" outlineLevel="0" collapsed="false">
      <c r="B59" s="393" t="s">
        <v>334</v>
      </c>
      <c r="C59" s="393"/>
      <c r="D59" s="393"/>
      <c r="E59" s="393"/>
      <c r="F59" s="393"/>
      <c r="G59" s="393"/>
      <c r="I59" s="0"/>
    </row>
    <row r="60" customFormat="false" ht="15" hidden="false" customHeight="false" outlineLevel="0" collapsed="false">
      <c r="B60" s="400"/>
      <c r="C60" s="400"/>
      <c r="D60" s="389"/>
      <c r="E60" s="389"/>
      <c r="F60" s="389"/>
      <c r="G60" s="390"/>
      <c r="I60" s="0"/>
    </row>
    <row r="61" customFormat="false" ht="15.75" hidden="false" customHeight="false" outlineLevel="0" collapsed="false">
      <c r="I61" s="0"/>
    </row>
    <row r="62" s="375" customFormat="true" ht="27.75" hidden="false" customHeight="true" outlineLevel="0" collapsed="false">
      <c r="A62" s="371"/>
      <c r="B62" s="372" t="s">
        <v>335</v>
      </c>
      <c r="C62" s="373" t="s">
        <v>336</v>
      </c>
      <c r="D62" s="374" t="s">
        <v>337</v>
      </c>
      <c r="E62" s="374"/>
      <c r="F62" s="374"/>
      <c r="G62" s="374"/>
      <c r="H62" s="346"/>
      <c r="I62" s="346"/>
      <c r="J62" s="346"/>
      <c r="K62" s="346"/>
      <c r="L62" s="346"/>
      <c r="M62" s="346"/>
    </row>
    <row r="63" customFormat="false" ht="15.75" hidden="false" customHeight="true" outlineLevel="0" collapsed="false">
      <c r="B63" s="376" t="s">
        <v>279</v>
      </c>
      <c r="C63" s="377" t="s">
        <v>280</v>
      </c>
      <c r="D63" s="378" t="s">
        <v>281</v>
      </c>
      <c r="E63" s="378" t="s">
        <v>282</v>
      </c>
      <c r="F63" s="379" t="s">
        <v>283</v>
      </c>
      <c r="G63" s="380" t="s">
        <v>284</v>
      </c>
      <c r="H63" s="346"/>
      <c r="I63" s="346"/>
      <c r="J63" s="346"/>
      <c r="K63" s="346"/>
      <c r="L63" s="346"/>
      <c r="M63" s="346"/>
    </row>
    <row r="64" s="346" customFormat="true" ht="15" hidden="false" customHeight="false" outlineLevel="0" collapsed="false">
      <c r="A64" s="351"/>
      <c r="B64" s="398" t="s">
        <v>338</v>
      </c>
      <c r="C64" s="361" t="s">
        <v>339</v>
      </c>
      <c r="D64" s="397" t="s">
        <v>340</v>
      </c>
      <c r="E64" s="365" t="n">
        <v>6</v>
      </c>
      <c r="F64" s="364" t="n">
        <v>2</v>
      </c>
      <c r="G64" s="384" t="n">
        <f aca="false">E64*F64</f>
        <v>12</v>
      </c>
    </row>
    <row r="65" s="346" customFormat="true" ht="15" hidden="false" customHeight="false" outlineLevel="0" collapsed="false">
      <c r="A65" s="351"/>
      <c r="B65" s="90" t="s">
        <v>341</v>
      </c>
      <c r="C65" s="361" t="s">
        <v>342</v>
      </c>
      <c r="D65" s="397" t="s">
        <v>297</v>
      </c>
      <c r="E65" s="365" t="n">
        <v>0.54</v>
      </c>
      <c r="F65" s="364" t="n">
        <v>9.21</v>
      </c>
      <c r="G65" s="384" t="n">
        <f aca="false">E65*F65</f>
        <v>4.9734</v>
      </c>
      <c r="I65" s="351"/>
    </row>
    <row r="66" customFormat="false" ht="15.75" hidden="false" customHeight="false" outlineLevel="0" collapsed="false">
      <c r="B66" s="381" t="s">
        <v>298</v>
      </c>
      <c r="C66" s="382" t="s">
        <v>299</v>
      </c>
      <c r="D66" s="383" t="s">
        <v>297</v>
      </c>
      <c r="E66" s="399" t="n">
        <v>2.16</v>
      </c>
      <c r="F66" s="365" t="n">
        <v>12.22</v>
      </c>
      <c r="G66" s="384" t="n">
        <f aca="false">E66*F66</f>
        <v>26.3952</v>
      </c>
      <c r="I66" s="0"/>
    </row>
    <row r="67" customFormat="false" ht="15.75" hidden="false" customHeight="false" outlineLevel="0" collapsed="false">
      <c r="B67" s="385"/>
      <c r="C67" s="386"/>
      <c r="D67" s="387"/>
      <c r="E67" s="387"/>
      <c r="F67" s="387"/>
      <c r="G67" s="370" t="n">
        <f aca="false">SUM(G64:G66)</f>
        <v>43.3686</v>
      </c>
      <c r="I67" s="0"/>
    </row>
    <row r="68" customFormat="false" ht="15.75" hidden="false" customHeight="false" outlineLevel="0" collapsed="false">
      <c r="B68" s="393" t="s">
        <v>343</v>
      </c>
      <c r="C68" s="393"/>
      <c r="D68" s="393"/>
      <c r="E68" s="393"/>
      <c r="F68" s="393"/>
      <c r="G68" s="393"/>
      <c r="I68" s="0"/>
    </row>
    <row r="69" customFormat="false" ht="15" hidden="false" customHeight="false" outlineLevel="0" collapsed="false">
      <c r="B69" s="400"/>
      <c r="C69" s="400"/>
      <c r="D69" s="389"/>
      <c r="E69" s="389"/>
      <c r="F69" s="389"/>
      <c r="G69" s="390"/>
      <c r="I69" s="0"/>
    </row>
    <row r="70" customFormat="false" ht="15.75" hidden="false" customHeight="false" outlineLevel="0" collapsed="false">
      <c r="I70" s="0"/>
    </row>
    <row r="71" s="5" customFormat="true" ht="18.75" hidden="false" customHeight="true" outlineLevel="0" collapsed="false">
      <c r="A71" s="345"/>
      <c r="B71" s="401" t="s">
        <v>344</v>
      </c>
      <c r="C71" s="402" t="s">
        <v>345</v>
      </c>
      <c r="D71" s="403" t="s">
        <v>346</v>
      </c>
      <c r="E71" s="403"/>
      <c r="F71" s="403"/>
      <c r="G71" s="403"/>
      <c r="H71" s="0"/>
      <c r="I71" s="0"/>
      <c r="J71" s="0"/>
      <c r="K71" s="0"/>
    </row>
    <row r="72" customFormat="false" ht="15" hidden="false" customHeight="false" outlineLevel="0" collapsed="false">
      <c r="B72" s="404" t="s">
        <v>279</v>
      </c>
      <c r="C72" s="405" t="s">
        <v>280</v>
      </c>
      <c r="D72" s="406" t="s">
        <v>281</v>
      </c>
      <c r="E72" s="406" t="s">
        <v>282</v>
      </c>
      <c r="F72" s="407" t="s">
        <v>283</v>
      </c>
      <c r="G72" s="408" t="s">
        <v>284</v>
      </c>
    </row>
    <row r="73" customFormat="false" ht="25.5" hidden="false" customHeight="false" outlineLevel="0" collapsed="false">
      <c r="B73" s="84" t="s">
        <v>347</v>
      </c>
      <c r="C73" s="409" t="s">
        <v>348</v>
      </c>
      <c r="D73" s="410" t="s">
        <v>349</v>
      </c>
      <c r="E73" s="410" t="n">
        <v>1.03</v>
      </c>
      <c r="F73" s="410" t="n">
        <v>1.58</v>
      </c>
      <c r="G73" s="384" t="n">
        <f aca="false">E73*F73</f>
        <v>1.6274</v>
      </c>
    </row>
    <row r="74" s="346" customFormat="true" ht="15" hidden="false" customHeight="false" outlineLevel="0" collapsed="false">
      <c r="A74" s="351"/>
      <c r="B74" s="381" t="s">
        <v>298</v>
      </c>
      <c r="C74" s="382" t="s">
        <v>299</v>
      </c>
      <c r="D74" s="383" t="s">
        <v>297</v>
      </c>
      <c r="E74" s="399" t="n">
        <v>0.16</v>
      </c>
      <c r="F74" s="365" t="n">
        <v>12.22</v>
      </c>
      <c r="G74" s="384" t="n">
        <f aca="false">E74*F74</f>
        <v>1.9552</v>
      </c>
    </row>
    <row r="75" s="346" customFormat="true" ht="15.75" hidden="false" customHeight="false" outlineLevel="0" collapsed="false">
      <c r="A75" s="351"/>
      <c r="B75" s="411" t="s">
        <v>350</v>
      </c>
      <c r="C75" s="412" t="s">
        <v>351</v>
      </c>
      <c r="D75" s="413" t="s">
        <v>297</v>
      </c>
      <c r="E75" s="414" t="n">
        <v>0.08</v>
      </c>
      <c r="F75" s="415" t="n">
        <v>10.97</v>
      </c>
      <c r="G75" s="416" t="n">
        <f aca="false">E75*F75</f>
        <v>0.8776</v>
      </c>
    </row>
    <row r="76" customFormat="false" ht="15.75" hidden="false" customHeight="false" outlineLevel="0" collapsed="false">
      <c r="B76" s="366"/>
      <c r="C76" s="367"/>
      <c r="D76" s="368"/>
      <c r="E76" s="368"/>
      <c r="F76" s="369"/>
      <c r="G76" s="370" t="n">
        <f aca="false">SUM(G73:G75)</f>
        <v>4.4602</v>
      </c>
      <c r="H76" s="346"/>
      <c r="I76" s="346"/>
      <c r="J76" s="346"/>
    </row>
    <row r="77" customFormat="false" ht="15.75" hidden="false" customHeight="false" outlineLevel="0" collapsed="false">
      <c r="B77" s="417" t="s">
        <v>352</v>
      </c>
      <c r="C77" s="418"/>
      <c r="D77" s="418"/>
      <c r="E77" s="418"/>
      <c r="F77" s="418"/>
      <c r="G77" s="419"/>
      <c r="H77" s="346"/>
      <c r="I77" s="346"/>
      <c r="J77" s="346"/>
    </row>
    <row r="78" customFormat="false" ht="15" hidden="false" customHeight="false" outlineLevel="0" collapsed="false">
      <c r="B78" s="351"/>
      <c r="C78" s="351"/>
      <c r="D78" s="351"/>
      <c r="E78" s="351"/>
      <c r="F78" s="351"/>
      <c r="G78" s="351"/>
      <c r="H78" s="346"/>
      <c r="I78" s="346"/>
      <c r="J78" s="346"/>
    </row>
    <row r="79" customFormat="false" ht="15.75" hidden="false" customHeight="false" outlineLevel="0" collapsed="false">
      <c r="B79" s="351"/>
      <c r="C79" s="351"/>
      <c r="D79" s="351"/>
      <c r="E79" s="351"/>
      <c r="F79" s="351"/>
      <c r="G79" s="351"/>
    </row>
    <row r="80" s="5" customFormat="true" ht="18.75" hidden="false" customHeight="true" outlineLevel="0" collapsed="false">
      <c r="A80" s="345"/>
      <c r="B80" s="401" t="s">
        <v>353</v>
      </c>
      <c r="C80" s="402" t="s">
        <v>354</v>
      </c>
      <c r="D80" s="403" t="s">
        <v>328</v>
      </c>
      <c r="E80" s="403"/>
      <c r="F80" s="403"/>
      <c r="G80" s="403"/>
      <c r="H80" s="0"/>
      <c r="I80" s="0"/>
      <c r="J80" s="0"/>
      <c r="K80" s="0"/>
    </row>
    <row r="81" customFormat="false" ht="15" hidden="false" customHeight="false" outlineLevel="0" collapsed="false">
      <c r="B81" s="404" t="s">
        <v>279</v>
      </c>
      <c r="C81" s="405" t="s">
        <v>280</v>
      </c>
      <c r="D81" s="406" t="s">
        <v>281</v>
      </c>
      <c r="E81" s="406" t="s">
        <v>282</v>
      </c>
      <c r="F81" s="407" t="s">
        <v>283</v>
      </c>
      <c r="G81" s="408" t="s">
        <v>284</v>
      </c>
    </row>
    <row r="82" customFormat="false" ht="15" hidden="false" customHeight="false" outlineLevel="0" collapsed="false">
      <c r="B82" s="420" t="s">
        <v>355</v>
      </c>
      <c r="C82" s="421" t="s">
        <v>356</v>
      </c>
      <c r="D82" s="397" t="s">
        <v>297</v>
      </c>
      <c r="E82" s="364" t="n">
        <v>0.3</v>
      </c>
      <c r="F82" s="422" t="n">
        <v>0.15</v>
      </c>
      <c r="G82" s="384" t="n">
        <f aca="false">E82*F82</f>
        <v>0.045</v>
      </c>
    </row>
    <row r="83" customFormat="false" ht="15" hidden="false" customHeight="false" outlineLevel="0" collapsed="false">
      <c r="B83" s="84" t="s">
        <v>81</v>
      </c>
      <c r="C83" s="409" t="s">
        <v>357</v>
      </c>
      <c r="D83" s="423" t="s">
        <v>358</v>
      </c>
      <c r="E83" s="424" t="n">
        <v>0.25</v>
      </c>
      <c r="F83" s="424" t="n">
        <f aca="false">Cotações!G8</f>
        <v>4.4</v>
      </c>
      <c r="G83" s="384" t="n">
        <f aca="false">E83*F83</f>
        <v>1.1</v>
      </c>
    </row>
    <row r="84" s="346" customFormat="true" ht="15" hidden="false" customHeight="false" outlineLevel="0" collapsed="false">
      <c r="A84" s="351"/>
      <c r="B84" s="381" t="s">
        <v>298</v>
      </c>
      <c r="C84" s="382" t="s">
        <v>299</v>
      </c>
      <c r="D84" s="383" t="s">
        <v>297</v>
      </c>
      <c r="E84" s="425" t="n">
        <v>0.1</v>
      </c>
      <c r="F84" s="365" t="n">
        <v>12.22</v>
      </c>
      <c r="G84" s="384" t="n">
        <f aca="false">E84*F84</f>
        <v>1.222</v>
      </c>
    </row>
    <row r="85" s="346" customFormat="true" ht="15.75" hidden="false" customHeight="false" outlineLevel="0" collapsed="false">
      <c r="A85" s="351"/>
      <c r="B85" s="420" t="s">
        <v>359</v>
      </c>
      <c r="C85" s="426" t="s">
        <v>360</v>
      </c>
      <c r="D85" s="427" t="s">
        <v>297</v>
      </c>
      <c r="E85" s="428" t="n">
        <v>0.3</v>
      </c>
      <c r="F85" s="428" t="n">
        <v>15.2</v>
      </c>
      <c r="G85" s="384" t="n">
        <f aca="false">E85*F85</f>
        <v>4.56</v>
      </c>
    </row>
    <row r="86" customFormat="false" ht="15.75" hidden="false" customHeight="false" outlineLevel="0" collapsed="false">
      <c r="B86" s="366"/>
      <c r="C86" s="367"/>
      <c r="D86" s="368"/>
      <c r="E86" s="368"/>
      <c r="F86" s="369"/>
      <c r="G86" s="370" t="n">
        <f aca="false">SUM(G82:G85)</f>
        <v>6.927</v>
      </c>
      <c r="H86" s="346"/>
      <c r="I86" s="346"/>
      <c r="J86" s="346"/>
    </row>
    <row r="87" customFormat="false" ht="15.75" hidden="false" customHeight="false" outlineLevel="0" collapsed="false">
      <c r="B87" s="417" t="s">
        <v>361</v>
      </c>
      <c r="C87" s="418"/>
      <c r="D87" s="418"/>
      <c r="E87" s="418"/>
      <c r="F87" s="418"/>
      <c r="G87" s="419"/>
      <c r="H87" s="346"/>
      <c r="I87" s="346"/>
      <c r="J87" s="346"/>
    </row>
    <row r="88" customFormat="false" ht="15" hidden="false" customHeight="false" outlineLevel="0" collapsed="false">
      <c r="B88" s="351"/>
      <c r="C88" s="351"/>
      <c r="D88" s="351"/>
      <c r="E88" s="351"/>
      <c r="F88" s="351"/>
      <c r="G88" s="351"/>
      <c r="H88" s="346"/>
      <c r="I88" s="346"/>
      <c r="J88" s="346"/>
    </row>
    <row r="89" customFormat="false" ht="15.75" hidden="false" customHeight="false" outlineLevel="0" collapsed="false">
      <c r="B89" s="351"/>
      <c r="C89" s="351"/>
      <c r="D89" s="351"/>
      <c r="E89" s="351"/>
      <c r="F89" s="351"/>
      <c r="G89" s="351"/>
    </row>
    <row r="90" s="346" customFormat="true" ht="15.75" hidden="false" customHeight="true" outlineLevel="0" collapsed="false">
      <c r="A90" s="351"/>
      <c r="B90" s="429" t="s">
        <v>362</v>
      </c>
      <c r="C90" s="430" t="s">
        <v>363</v>
      </c>
      <c r="D90" s="431" t="s">
        <v>17</v>
      </c>
      <c r="E90" s="431"/>
      <c r="F90" s="431"/>
      <c r="G90" s="431"/>
      <c r="I90" s="351"/>
    </row>
    <row r="91" customFormat="false" ht="15" hidden="false" customHeight="false" outlineLevel="0" collapsed="false">
      <c r="B91" s="376" t="s">
        <v>279</v>
      </c>
      <c r="C91" s="377" t="s">
        <v>280</v>
      </c>
      <c r="D91" s="378" t="s">
        <v>281</v>
      </c>
      <c r="E91" s="378" t="s">
        <v>282</v>
      </c>
      <c r="F91" s="379" t="s">
        <v>283</v>
      </c>
      <c r="G91" s="380" t="s">
        <v>284</v>
      </c>
    </row>
    <row r="92" s="346" customFormat="true" ht="21.75" hidden="false" customHeight="true" outlineLevel="0" collapsed="false">
      <c r="A92" s="351"/>
      <c r="B92" s="84" t="s">
        <v>364</v>
      </c>
      <c r="C92" s="361" t="s">
        <v>365</v>
      </c>
      <c r="D92" s="432" t="s">
        <v>318</v>
      </c>
      <c r="E92" s="432" t="n">
        <v>0.002</v>
      </c>
      <c r="F92" s="433" t="n">
        <v>4.64</v>
      </c>
      <c r="G92" s="434" t="n">
        <f aca="false">E92*F92</f>
        <v>0.00928</v>
      </c>
      <c r="I92" s="351"/>
    </row>
    <row r="93" customFormat="false" ht="15" hidden="false" customHeight="false" outlineLevel="0" collapsed="false">
      <c r="B93" s="420" t="s">
        <v>366</v>
      </c>
      <c r="C93" s="435" t="s">
        <v>367</v>
      </c>
      <c r="D93" s="432" t="s">
        <v>297</v>
      </c>
      <c r="E93" s="432" t="n">
        <v>5</v>
      </c>
      <c r="F93" s="436" t="n">
        <v>12.71</v>
      </c>
      <c r="G93" s="434" t="n">
        <f aca="false">E93*F93</f>
        <v>63.55</v>
      </c>
    </row>
    <row r="94" customFormat="false" ht="15" hidden="false" customHeight="false" outlineLevel="0" collapsed="false">
      <c r="B94" s="437" t="s">
        <v>368</v>
      </c>
      <c r="C94" s="435" t="s">
        <v>369</v>
      </c>
      <c r="D94" s="432" t="s">
        <v>21</v>
      </c>
      <c r="E94" s="432" t="n">
        <v>0.001</v>
      </c>
      <c r="F94" s="436" t="n">
        <v>5.22</v>
      </c>
      <c r="G94" s="434" t="n">
        <f aca="false">E94*F94</f>
        <v>0.00522</v>
      </c>
    </row>
    <row r="95" customFormat="false" ht="15" hidden="false" customHeight="false" outlineLevel="0" collapsed="false">
      <c r="B95" s="437" t="s">
        <v>370</v>
      </c>
      <c r="C95" s="426" t="s">
        <v>371</v>
      </c>
      <c r="D95" s="438" t="s">
        <v>372</v>
      </c>
      <c r="E95" s="438" t="n">
        <v>0.005</v>
      </c>
      <c r="F95" s="439" t="n">
        <v>5</v>
      </c>
      <c r="G95" s="434" t="n">
        <f aca="false">E95*F95</f>
        <v>0.025</v>
      </c>
    </row>
    <row r="96" customFormat="false" ht="15" hidden="false" customHeight="false" outlineLevel="0" collapsed="false">
      <c r="B96" s="420" t="s">
        <v>373</v>
      </c>
      <c r="C96" s="426" t="s">
        <v>374</v>
      </c>
      <c r="D96" s="438" t="s">
        <v>297</v>
      </c>
      <c r="E96" s="438" t="n">
        <v>5</v>
      </c>
      <c r="F96" s="439" t="n">
        <v>10.7</v>
      </c>
      <c r="G96" s="434" t="n">
        <f aca="false">E96*F96</f>
        <v>53.5</v>
      </c>
      <c r="H96" s="345"/>
      <c r="J96" s="345"/>
    </row>
    <row r="97" customFormat="false" ht="15.75" hidden="false" customHeight="false" outlineLevel="0" collapsed="false">
      <c r="B97" s="381" t="s">
        <v>298</v>
      </c>
      <c r="C97" s="382" t="s">
        <v>299</v>
      </c>
      <c r="D97" s="440" t="s">
        <v>297</v>
      </c>
      <c r="E97" s="440" t="n">
        <v>2.5</v>
      </c>
      <c r="F97" s="439" t="n">
        <v>12.22</v>
      </c>
      <c r="G97" s="441" t="n">
        <f aca="false">E97*F97</f>
        <v>30.55</v>
      </c>
      <c r="H97" s="351"/>
      <c r="I97" s="351"/>
      <c r="J97" s="351"/>
    </row>
    <row r="98" customFormat="false" ht="15.75" hidden="false" customHeight="false" outlineLevel="0" collapsed="false">
      <c r="B98" s="385"/>
      <c r="C98" s="386"/>
      <c r="D98" s="387"/>
      <c r="E98" s="387"/>
      <c r="F98" s="387"/>
      <c r="G98" s="370" t="n">
        <f aca="false">SUM(G92:G97)</f>
        <v>147.6395</v>
      </c>
      <c r="H98" s="345"/>
      <c r="J98" s="345"/>
    </row>
    <row r="99" customFormat="false" ht="15.75" hidden="false" customHeight="false" outlineLevel="0" collapsed="false">
      <c r="B99" s="393" t="s">
        <v>375</v>
      </c>
      <c r="C99" s="393"/>
      <c r="D99" s="393"/>
      <c r="E99" s="393"/>
      <c r="F99" s="393"/>
      <c r="G99" s="393"/>
      <c r="H99" s="346"/>
      <c r="I99" s="346"/>
      <c r="J99" s="346"/>
    </row>
    <row r="101" customFormat="false" ht="15.75" hidden="false" customHeight="false" outlineLevel="0" collapsed="false"/>
    <row r="102" s="346" customFormat="true" ht="26.25" hidden="false" customHeight="false" outlineLevel="0" collapsed="false">
      <c r="A102" s="351"/>
      <c r="B102" s="429" t="s">
        <v>376</v>
      </c>
      <c r="C102" s="442" t="s">
        <v>377</v>
      </c>
      <c r="D102" s="431" t="s">
        <v>17</v>
      </c>
      <c r="E102" s="431"/>
      <c r="F102" s="431"/>
      <c r="G102" s="431"/>
      <c r="I102" s="351"/>
    </row>
    <row r="103" customFormat="false" ht="15" hidden="false" customHeight="false" outlineLevel="0" collapsed="false">
      <c r="B103" s="443" t="s">
        <v>279</v>
      </c>
      <c r="C103" s="444" t="s">
        <v>280</v>
      </c>
      <c r="D103" s="445" t="s">
        <v>281</v>
      </c>
      <c r="E103" s="445" t="s">
        <v>282</v>
      </c>
      <c r="F103" s="61" t="s">
        <v>283</v>
      </c>
      <c r="G103" s="446" t="s">
        <v>284</v>
      </c>
    </row>
    <row r="104" customFormat="false" ht="15" hidden="false" customHeight="false" outlineLevel="0" collapsed="false">
      <c r="B104" s="443" t="s">
        <v>364</v>
      </c>
      <c r="C104" s="435" t="s">
        <v>365</v>
      </c>
      <c r="D104" s="432" t="s">
        <v>281</v>
      </c>
      <c r="E104" s="432" t="n">
        <v>0.002</v>
      </c>
      <c r="F104" s="433" t="n">
        <v>4.64</v>
      </c>
      <c r="G104" s="447" t="n">
        <f aca="false">E104*F104</f>
        <v>0.00928</v>
      </c>
    </row>
    <row r="105" customFormat="false" ht="15" hidden="false" customHeight="false" outlineLevel="0" collapsed="false">
      <c r="B105" s="90" t="s">
        <v>366</v>
      </c>
      <c r="C105" s="435" t="s">
        <v>378</v>
      </c>
      <c r="D105" s="432" t="s">
        <v>297</v>
      </c>
      <c r="E105" s="432" t="n">
        <v>6</v>
      </c>
      <c r="F105" s="436" t="n">
        <v>12.71</v>
      </c>
      <c r="G105" s="448" t="n">
        <f aca="false">E105*F105</f>
        <v>76.26</v>
      </c>
    </row>
    <row r="106" customFormat="false" ht="26.25" hidden="false" customHeight="false" outlineLevel="0" collapsed="false">
      <c r="B106" s="90" t="s">
        <v>379</v>
      </c>
      <c r="C106" s="449" t="s">
        <v>380</v>
      </c>
      <c r="D106" s="432" t="s">
        <v>21</v>
      </c>
      <c r="E106" s="432" t="n">
        <v>0.001</v>
      </c>
      <c r="F106" s="436" t="n">
        <v>5.13</v>
      </c>
      <c r="G106" s="448" t="n">
        <f aca="false">E106*F106</f>
        <v>0.00513</v>
      </c>
    </row>
    <row r="107" customFormat="false" ht="15" hidden="false" customHeight="false" outlineLevel="0" collapsed="false">
      <c r="B107" s="437" t="s">
        <v>370</v>
      </c>
      <c r="C107" s="426" t="s">
        <v>371</v>
      </c>
      <c r="D107" s="438" t="s">
        <v>372</v>
      </c>
      <c r="E107" s="438" t="n">
        <v>0.005</v>
      </c>
      <c r="F107" s="439" t="n">
        <v>5</v>
      </c>
      <c r="G107" s="448" t="n">
        <f aca="false">E107*F107</f>
        <v>0.025</v>
      </c>
      <c r="H107" s="345"/>
      <c r="J107" s="345"/>
      <c r="K107" s="345"/>
    </row>
    <row r="108" customFormat="false" ht="15" hidden="false" customHeight="false" outlineLevel="0" collapsed="false">
      <c r="B108" s="420" t="s">
        <v>373</v>
      </c>
      <c r="C108" s="426" t="s">
        <v>374</v>
      </c>
      <c r="D108" s="438" t="s">
        <v>297</v>
      </c>
      <c r="E108" s="438" t="n">
        <v>6</v>
      </c>
      <c r="F108" s="439" t="n">
        <v>10.7</v>
      </c>
      <c r="G108" s="447" t="n">
        <f aca="false">E108*F108</f>
        <v>64.2</v>
      </c>
      <c r="H108" s="345"/>
      <c r="J108" s="345"/>
      <c r="K108" s="345"/>
    </row>
    <row r="109" customFormat="false" ht="15.75" hidden="false" customHeight="false" outlineLevel="0" collapsed="false">
      <c r="B109" s="381" t="s">
        <v>298</v>
      </c>
      <c r="C109" s="382" t="s">
        <v>299</v>
      </c>
      <c r="D109" s="440" t="s">
        <v>297</v>
      </c>
      <c r="E109" s="440" t="n">
        <v>3</v>
      </c>
      <c r="F109" s="439" t="n">
        <v>12.22</v>
      </c>
      <c r="G109" s="384" t="n">
        <f aca="false">E109*F109</f>
        <v>36.66</v>
      </c>
      <c r="H109" s="345"/>
      <c r="J109" s="345"/>
      <c r="K109" s="345"/>
    </row>
    <row r="110" customFormat="false" ht="15.75" hidden="false" customHeight="false" outlineLevel="0" collapsed="false">
      <c r="B110" s="385"/>
      <c r="C110" s="386"/>
      <c r="D110" s="387"/>
      <c r="E110" s="387"/>
      <c r="F110" s="387"/>
      <c r="G110" s="370" t="n">
        <f aca="false">SUM(G104:G109)</f>
        <v>177.15941</v>
      </c>
      <c r="H110" s="345"/>
      <c r="J110" s="345"/>
      <c r="K110" s="345"/>
    </row>
    <row r="111" customFormat="false" ht="15.75" hidden="false" customHeight="false" outlineLevel="0" collapsed="false">
      <c r="B111" s="393" t="s">
        <v>381</v>
      </c>
      <c r="C111" s="393"/>
      <c r="D111" s="393"/>
      <c r="E111" s="393"/>
      <c r="F111" s="393"/>
      <c r="G111" s="393"/>
      <c r="H111" s="345"/>
      <c r="J111" s="345"/>
      <c r="K111" s="345"/>
    </row>
    <row r="112" customFormat="false" ht="15" hidden="false" customHeight="false" outlineLevel="0" collapsed="false">
      <c r="B112" s="388"/>
      <c r="C112" s="158"/>
      <c r="D112" s="389"/>
      <c r="E112" s="389"/>
      <c r="F112" s="389"/>
      <c r="G112" s="390"/>
      <c r="H112" s="345"/>
      <c r="J112" s="345"/>
      <c r="K112" s="345"/>
    </row>
    <row r="113" customFormat="false" ht="15.75" hidden="false" customHeight="false" outlineLevel="0" collapsed="false"/>
    <row r="114" s="346" customFormat="true" ht="24.75" hidden="false" customHeight="true" outlineLevel="0" collapsed="false">
      <c r="A114" s="351"/>
      <c r="B114" s="450" t="s">
        <v>382</v>
      </c>
      <c r="C114" s="451" t="s">
        <v>383</v>
      </c>
      <c r="D114" s="452" t="s">
        <v>21</v>
      </c>
      <c r="E114" s="452"/>
      <c r="F114" s="452"/>
      <c r="G114" s="452"/>
      <c r="H114" s="0"/>
      <c r="I114" s="0"/>
      <c r="J114" s="0"/>
      <c r="K114" s="0"/>
    </row>
    <row r="115" customFormat="false" ht="15" hidden="false" customHeight="false" outlineLevel="0" collapsed="false">
      <c r="B115" s="453" t="s">
        <v>279</v>
      </c>
      <c r="C115" s="454" t="s">
        <v>280</v>
      </c>
      <c r="D115" s="455" t="s">
        <v>281</v>
      </c>
      <c r="E115" s="455" t="s">
        <v>282</v>
      </c>
      <c r="F115" s="456" t="s">
        <v>283</v>
      </c>
      <c r="G115" s="457" t="s">
        <v>284</v>
      </c>
      <c r="I115" s="0"/>
    </row>
    <row r="116" customFormat="false" ht="15" hidden="false" customHeight="false" outlineLevel="0" collapsed="false">
      <c r="B116" s="420" t="s">
        <v>384</v>
      </c>
      <c r="C116" s="421" t="s">
        <v>385</v>
      </c>
      <c r="D116" s="397" t="s">
        <v>386</v>
      </c>
      <c r="E116" s="365" t="n">
        <v>0.25</v>
      </c>
      <c r="F116" s="364" t="n">
        <f aca="false">1.21*8</f>
        <v>9.68</v>
      </c>
      <c r="G116" s="447" t="n">
        <f aca="false">E116*F116</f>
        <v>2.42</v>
      </c>
      <c r="I116" s="0"/>
    </row>
    <row r="117" customFormat="false" ht="15" hidden="false" customHeight="false" outlineLevel="0" collapsed="false">
      <c r="B117" s="381" t="s">
        <v>387</v>
      </c>
      <c r="C117" s="458" t="s">
        <v>388</v>
      </c>
      <c r="D117" s="383" t="s">
        <v>318</v>
      </c>
      <c r="E117" s="399" t="n">
        <v>0.05</v>
      </c>
      <c r="F117" s="364" t="n">
        <v>4.8</v>
      </c>
      <c r="G117" s="384" t="n">
        <f aca="false">E117*F117</f>
        <v>0.24</v>
      </c>
      <c r="I117" s="0"/>
    </row>
    <row r="118" customFormat="false" ht="15.75" hidden="false" customHeight="false" outlineLevel="0" collapsed="false">
      <c r="B118" s="381" t="s">
        <v>298</v>
      </c>
      <c r="C118" s="382" t="s">
        <v>299</v>
      </c>
      <c r="D118" s="383" t="s">
        <v>297</v>
      </c>
      <c r="E118" s="399" t="n">
        <v>0.125</v>
      </c>
      <c r="F118" s="365" t="n">
        <v>12.22</v>
      </c>
      <c r="G118" s="384" t="n">
        <f aca="false">E118*F118</f>
        <v>1.5275</v>
      </c>
      <c r="I118" s="0"/>
    </row>
    <row r="119" customFormat="false" ht="15.75" hidden="false" customHeight="false" outlineLevel="0" collapsed="false">
      <c r="B119" s="459"/>
      <c r="C119" s="460"/>
      <c r="D119" s="461"/>
      <c r="E119" s="461"/>
      <c r="F119" s="461"/>
      <c r="G119" s="462" t="n">
        <f aca="false">SUM(G116:G118)</f>
        <v>4.1875</v>
      </c>
      <c r="I119" s="0"/>
    </row>
    <row r="120" customFormat="false" ht="15.75" hidden="false" customHeight="false" outlineLevel="0" collapsed="false">
      <c r="B120" s="393" t="s">
        <v>389</v>
      </c>
      <c r="C120" s="393"/>
      <c r="D120" s="393"/>
      <c r="E120" s="393"/>
      <c r="F120" s="393"/>
      <c r="G120" s="393"/>
      <c r="I120" s="0"/>
    </row>
    <row r="121" customFormat="false" ht="15" hidden="false" customHeight="false" outlineLevel="0" collapsed="false">
      <c r="B121" s="463"/>
      <c r="C121" s="463"/>
      <c r="D121" s="463"/>
      <c r="E121" s="463"/>
      <c r="F121" s="463"/>
      <c r="G121" s="463"/>
      <c r="I121" s="464"/>
    </row>
    <row r="122" customFormat="false" ht="15.75" hidden="false" customHeight="false" outlineLevel="0" collapsed="false">
      <c r="B122" s="465"/>
      <c r="I122" s="0"/>
    </row>
    <row r="123" s="346" customFormat="true" ht="15.75" hidden="false" customHeight="false" outlineLevel="0" collapsed="false">
      <c r="A123" s="351"/>
      <c r="B123" s="429" t="s">
        <v>390</v>
      </c>
      <c r="C123" s="442" t="s">
        <v>391</v>
      </c>
      <c r="D123" s="431" t="s">
        <v>17</v>
      </c>
      <c r="E123" s="431"/>
      <c r="F123" s="431"/>
      <c r="G123" s="431"/>
      <c r="H123" s="0"/>
      <c r="I123" s="0"/>
      <c r="J123" s="0"/>
      <c r="K123" s="0"/>
    </row>
    <row r="124" customFormat="false" ht="15" hidden="false" customHeight="false" outlineLevel="0" collapsed="false">
      <c r="B124" s="443" t="s">
        <v>279</v>
      </c>
      <c r="C124" s="444" t="s">
        <v>280</v>
      </c>
      <c r="D124" s="445" t="s">
        <v>281</v>
      </c>
      <c r="E124" s="445" t="s">
        <v>282</v>
      </c>
      <c r="F124" s="61" t="s">
        <v>283</v>
      </c>
      <c r="G124" s="446" t="s">
        <v>284</v>
      </c>
      <c r="I124" s="0"/>
    </row>
    <row r="125" customFormat="false" ht="15" hidden="false" customHeight="false" outlineLevel="0" collapsed="false">
      <c r="B125" s="466" t="s">
        <v>392</v>
      </c>
      <c r="C125" s="467" t="s">
        <v>393</v>
      </c>
      <c r="D125" s="440" t="s">
        <v>297</v>
      </c>
      <c r="E125" s="468" t="n">
        <f aca="false">1/56.27</f>
        <v>0.0177714590367869</v>
      </c>
      <c r="F125" s="364" t="n">
        <v>106.89</v>
      </c>
      <c r="G125" s="469" t="n">
        <f aca="false">E125*F125</f>
        <v>1.89959125644215</v>
      </c>
      <c r="I125" s="0"/>
    </row>
    <row r="126" customFormat="false" ht="15" hidden="false" customHeight="false" outlineLevel="0" collapsed="false">
      <c r="B126" s="381" t="s">
        <v>394</v>
      </c>
      <c r="C126" s="382" t="s">
        <v>395</v>
      </c>
      <c r="D126" s="440" t="s">
        <v>297</v>
      </c>
      <c r="E126" s="468" t="n">
        <f aca="false">1/56.27</f>
        <v>0.0177714590367869</v>
      </c>
      <c r="F126" s="365" t="n">
        <v>27.16</v>
      </c>
      <c r="G126" s="469" t="n">
        <f aca="false">E126*F126</f>
        <v>0.482672827439133</v>
      </c>
      <c r="I126" s="0"/>
    </row>
    <row r="127" customFormat="false" ht="15.75" hidden="false" customHeight="false" outlineLevel="0" collapsed="false">
      <c r="B127" s="381" t="s">
        <v>298</v>
      </c>
      <c r="C127" s="382" t="s">
        <v>299</v>
      </c>
      <c r="D127" s="440" t="s">
        <v>297</v>
      </c>
      <c r="E127" s="468" t="n">
        <f aca="false">1/56.27</f>
        <v>0.0177714590367869</v>
      </c>
      <c r="F127" s="365" t="n">
        <v>12.22</v>
      </c>
      <c r="G127" s="469" t="n">
        <f aca="false">E127*F127</f>
        <v>0.217167229429536</v>
      </c>
      <c r="I127" s="0"/>
    </row>
    <row r="128" customFormat="false" ht="15.75" hidden="false" customHeight="false" outlineLevel="0" collapsed="false">
      <c r="B128" s="385"/>
      <c r="C128" s="386"/>
      <c r="D128" s="387"/>
      <c r="E128" s="387"/>
      <c r="F128" s="387"/>
      <c r="G128" s="370" t="n">
        <f aca="false">SUM(G125:G127)</f>
        <v>2.59943131331082</v>
      </c>
      <c r="I128" s="0"/>
    </row>
    <row r="129" customFormat="false" ht="15.75" hidden="false" customHeight="false" outlineLevel="0" collapsed="false">
      <c r="B129" s="393" t="s">
        <v>396</v>
      </c>
      <c r="C129" s="393"/>
      <c r="D129" s="393"/>
      <c r="E129" s="393"/>
      <c r="F129" s="393"/>
      <c r="G129" s="393"/>
      <c r="I129" s="0"/>
    </row>
    <row r="130" customFormat="false" ht="15" hidden="false" customHeight="false" outlineLevel="0" collapsed="false">
      <c r="B130" s="400"/>
      <c r="C130" s="470"/>
      <c r="D130" s="470"/>
      <c r="E130" s="470"/>
      <c r="F130" s="470"/>
      <c r="G130" s="470"/>
      <c r="I130" s="0"/>
    </row>
    <row r="131" customFormat="false" ht="15.75" hidden="false" customHeight="false" outlineLevel="0" collapsed="false">
      <c r="B131" s="388"/>
      <c r="C131" s="470"/>
      <c r="D131" s="470"/>
      <c r="E131" s="470"/>
      <c r="F131" s="470"/>
      <c r="G131" s="470"/>
      <c r="I131" s="0"/>
    </row>
    <row r="132" customFormat="false" ht="22.5" hidden="false" customHeight="true" outlineLevel="0" collapsed="false">
      <c r="B132" s="471" t="s">
        <v>397</v>
      </c>
      <c r="C132" s="472" t="s">
        <v>398</v>
      </c>
      <c r="D132" s="431" t="s">
        <v>19</v>
      </c>
      <c r="E132" s="431"/>
      <c r="F132" s="431"/>
      <c r="G132" s="431"/>
      <c r="I132" s="0"/>
    </row>
    <row r="133" customFormat="false" ht="15" hidden="false" customHeight="false" outlineLevel="0" collapsed="false">
      <c r="B133" s="376" t="s">
        <v>279</v>
      </c>
      <c r="C133" s="377" t="s">
        <v>280</v>
      </c>
      <c r="D133" s="377" t="s">
        <v>281</v>
      </c>
      <c r="E133" s="377" t="s">
        <v>282</v>
      </c>
      <c r="F133" s="473" t="s">
        <v>283</v>
      </c>
      <c r="G133" s="474" t="s">
        <v>284</v>
      </c>
      <c r="I133" s="0"/>
    </row>
    <row r="134" customFormat="false" ht="15" hidden="false" customHeight="false" outlineLevel="0" collapsed="false">
      <c r="B134" s="420" t="s">
        <v>399</v>
      </c>
      <c r="C134" s="426" t="s">
        <v>400</v>
      </c>
      <c r="D134" s="427" t="s">
        <v>297</v>
      </c>
      <c r="E134" s="426" t="n">
        <v>0.76</v>
      </c>
      <c r="F134" s="475" t="n">
        <v>0.14</v>
      </c>
      <c r="G134" s="476" t="n">
        <f aca="false">E134*F134</f>
        <v>0.1064</v>
      </c>
      <c r="I134" s="0"/>
    </row>
    <row r="135" s="375" customFormat="true" ht="25.5" hidden="false" customHeight="false" outlineLevel="0" collapsed="false">
      <c r="A135" s="371"/>
      <c r="B135" s="90" t="s">
        <v>401</v>
      </c>
      <c r="C135" s="477" t="s">
        <v>402</v>
      </c>
      <c r="D135" s="438" t="s">
        <v>297</v>
      </c>
      <c r="E135" s="478" t="n">
        <v>0.05</v>
      </c>
      <c r="F135" s="468" t="n">
        <v>0.49</v>
      </c>
      <c r="G135" s="469" t="n">
        <f aca="false">E135*F135</f>
        <v>0.0245</v>
      </c>
    </row>
    <row r="136" customFormat="false" ht="15" hidden="false" customHeight="false" outlineLevel="0" collapsed="false">
      <c r="B136" s="420" t="s">
        <v>403</v>
      </c>
      <c r="C136" s="426" t="s">
        <v>404</v>
      </c>
      <c r="D136" s="427" t="s">
        <v>318</v>
      </c>
      <c r="E136" s="426" t="n">
        <v>0.01</v>
      </c>
      <c r="F136" s="428" t="n">
        <v>15.54</v>
      </c>
      <c r="G136" s="476" t="n">
        <f aca="false">E136*F136</f>
        <v>0.1554</v>
      </c>
      <c r="I136" s="0"/>
    </row>
    <row r="137" customFormat="false" ht="15.75" hidden="false" customHeight="false" outlineLevel="0" collapsed="false">
      <c r="B137" s="381" t="s">
        <v>405</v>
      </c>
      <c r="C137" s="479" t="s">
        <v>406</v>
      </c>
      <c r="D137" s="480" t="s">
        <v>297</v>
      </c>
      <c r="E137" s="479" t="n">
        <v>0.81</v>
      </c>
      <c r="F137" s="428" t="n">
        <v>10.7</v>
      </c>
      <c r="G137" s="481" t="n">
        <f aca="false">E137*F137</f>
        <v>8.667</v>
      </c>
      <c r="I137" s="0"/>
    </row>
    <row r="138" customFormat="false" ht="15.75" hidden="false" customHeight="false" outlineLevel="0" collapsed="false">
      <c r="B138" s="385"/>
      <c r="C138" s="386"/>
      <c r="D138" s="386"/>
      <c r="E138" s="386"/>
      <c r="F138" s="386"/>
      <c r="G138" s="482" t="n">
        <f aca="false">SUM(G134:G137)</f>
        <v>8.9533</v>
      </c>
      <c r="I138" s="0"/>
    </row>
    <row r="139" customFormat="false" ht="15.75" hidden="false" customHeight="false" outlineLevel="0" collapsed="false">
      <c r="B139" s="393" t="s">
        <v>407</v>
      </c>
      <c r="C139" s="393"/>
      <c r="D139" s="393"/>
      <c r="E139" s="393"/>
      <c r="F139" s="393"/>
      <c r="G139" s="393"/>
      <c r="I139" s="0"/>
    </row>
    <row r="140" customFormat="false" ht="15" hidden="false" customHeight="false" outlineLevel="0" collapsed="false">
      <c r="B140" s="463"/>
      <c r="C140" s="463"/>
      <c r="D140" s="463"/>
      <c r="E140" s="463"/>
      <c r="F140" s="463"/>
      <c r="G140" s="463"/>
      <c r="I140" s="464"/>
    </row>
    <row r="141" customFormat="false" ht="15.75" hidden="false" customHeight="false" outlineLevel="0" collapsed="false">
      <c r="B141" s="400"/>
      <c r="C141" s="400"/>
      <c r="D141" s="400"/>
      <c r="E141" s="400"/>
      <c r="F141" s="400"/>
      <c r="G141" s="400"/>
      <c r="I141" s="464"/>
    </row>
    <row r="142" s="346" customFormat="true" ht="28.5" hidden="false" customHeight="true" outlineLevel="0" collapsed="false">
      <c r="A142" s="351"/>
      <c r="B142" s="372" t="s">
        <v>408</v>
      </c>
      <c r="C142" s="373" t="s">
        <v>409</v>
      </c>
      <c r="D142" s="431" t="s">
        <v>45</v>
      </c>
      <c r="E142" s="431"/>
      <c r="F142" s="431"/>
      <c r="G142" s="431"/>
      <c r="H142" s="0"/>
      <c r="I142" s="0"/>
      <c r="J142" s="0"/>
      <c r="K142" s="0"/>
    </row>
    <row r="143" customFormat="false" ht="15" hidden="false" customHeight="false" outlineLevel="0" collapsed="false">
      <c r="B143" s="376" t="s">
        <v>279</v>
      </c>
      <c r="C143" s="377" t="s">
        <v>280</v>
      </c>
      <c r="D143" s="378" t="s">
        <v>281</v>
      </c>
      <c r="E143" s="378" t="s">
        <v>282</v>
      </c>
      <c r="F143" s="379" t="s">
        <v>283</v>
      </c>
      <c r="G143" s="380" t="s">
        <v>284</v>
      </c>
      <c r="I143" s="0"/>
    </row>
    <row r="144" customFormat="false" ht="15" hidden="false" customHeight="false" outlineLevel="0" collapsed="false">
      <c r="B144" s="381" t="s">
        <v>410</v>
      </c>
      <c r="C144" s="382" t="s">
        <v>411</v>
      </c>
      <c r="D144" s="383" t="s">
        <v>294</v>
      </c>
      <c r="E144" s="399" t="n">
        <v>0.025</v>
      </c>
      <c r="F144" s="425" t="n">
        <v>13</v>
      </c>
      <c r="G144" s="384" t="n">
        <f aca="false">E144*F144</f>
        <v>0.325</v>
      </c>
      <c r="I144" s="0"/>
    </row>
    <row r="145" s="346" customFormat="true" ht="25.5" hidden="false" customHeight="false" outlineLevel="0" collapsed="false">
      <c r="A145" s="351"/>
      <c r="B145" s="483" t="s">
        <v>412</v>
      </c>
      <c r="C145" s="484" t="s">
        <v>413</v>
      </c>
      <c r="D145" s="383" t="s">
        <v>414</v>
      </c>
      <c r="E145" s="485" t="n">
        <v>2.816</v>
      </c>
      <c r="F145" s="399" t="n">
        <v>0.15</v>
      </c>
      <c r="G145" s="384" t="n">
        <f aca="false">E145*F145</f>
        <v>0.4224</v>
      </c>
      <c r="H145" s="0"/>
      <c r="I145" s="0"/>
      <c r="J145" s="0"/>
      <c r="K145" s="0"/>
    </row>
    <row r="146" customFormat="false" ht="15" hidden="false" customHeight="false" outlineLevel="0" collapsed="false">
      <c r="B146" s="381" t="s">
        <v>415</v>
      </c>
      <c r="C146" s="382" t="s">
        <v>416</v>
      </c>
      <c r="D146" s="383" t="s">
        <v>297</v>
      </c>
      <c r="E146" s="399" t="n">
        <v>0.0171</v>
      </c>
      <c r="F146" s="399" t="n">
        <v>11.51</v>
      </c>
      <c r="G146" s="384" t="n">
        <f aca="false">E146*F146</f>
        <v>0.196821</v>
      </c>
      <c r="I146" s="0"/>
    </row>
    <row r="147" customFormat="false" ht="15" hidden="false" customHeight="false" outlineLevel="0" collapsed="false">
      <c r="B147" s="381" t="s">
        <v>417</v>
      </c>
      <c r="C147" s="382" t="s">
        <v>418</v>
      </c>
      <c r="D147" s="383" t="s">
        <v>297</v>
      </c>
      <c r="E147" s="399" t="n">
        <v>0.1048</v>
      </c>
      <c r="F147" s="399" t="n">
        <v>15.12</v>
      </c>
      <c r="G147" s="384" t="n">
        <f aca="false">E147*F147</f>
        <v>1.584576</v>
      </c>
      <c r="I147" s="0"/>
    </row>
    <row r="148" customFormat="false" ht="15.75" hidden="false" customHeight="false" outlineLevel="0" collapsed="false">
      <c r="B148" s="381" t="s">
        <v>419</v>
      </c>
      <c r="C148" s="382" t="s">
        <v>420</v>
      </c>
      <c r="D148" s="383" t="s">
        <v>294</v>
      </c>
      <c r="E148" s="399" t="n">
        <v>1</v>
      </c>
      <c r="F148" s="365" t="n">
        <v>6.26</v>
      </c>
      <c r="G148" s="416" t="n">
        <f aca="false">E148*F148</f>
        <v>6.26</v>
      </c>
      <c r="I148" s="0"/>
    </row>
    <row r="149" customFormat="false" ht="15.75" hidden="false" customHeight="false" outlineLevel="0" collapsed="false">
      <c r="B149" s="385"/>
      <c r="C149" s="386"/>
      <c r="D149" s="386"/>
      <c r="E149" s="386"/>
      <c r="F149" s="386"/>
      <c r="G149" s="370" t="n">
        <f aca="false">SUM(G144:G148)</f>
        <v>8.788797</v>
      </c>
      <c r="I149" s="0"/>
    </row>
    <row r="150" customFormat="false" ht="15" hidden="false" customHeight="false" outlineLevel="0" collapsed="false">
      <c r="B150" s="388"/>
      <c r="C150" s="158"/>
      <c r="D150" s="389"/>
      <c r="E150" s="389"/>
      <c r="F150" s="389"/>
      <c r="G150" s="390"/>
      <c r="I150" s="0"/>
    </row>
    <row r="151" customFormat="false" ht="15.75" hidden="false" customHeight="false" outlineLevel="0" collapsed="false">
      <c r="I151" s="0"/>
    </row>
    <row r="152" s="346" customFormat="true" ht="28.5" hidden="false" customHeight="true" outlineLevel="0" collapsed="false">
      <c r="A152" s="351"/>
      <c r="B152" s="372" t="s">
        <v>421</v>
      </c>
      <c r="C152" s="373" t="s">
        <v>422</v>
      </c>
      <c r="D152" s="431" t="s">
        <v>45</v>
      </c>
      <c r="E152" s="431"/>
      <c r="F152" s="431"/>
      <c r="G152" s="431"/>
      <c r="H152" s="0"/>
      <c r="I152" s="0"/>
      <c r="J152" s="0"/>
      <c r="K152" s="0"/>
    </row>
    <row r="153" customFormat="false" ht="15" hidden="false" customHeight="false" outlineLevel="0" collapsed="false">
      <c r="B153" s="376" t="s">
        <v>279</v>
      </c>
      <c r="C153" s="377" t="s">
        <v>280</v>
      </c>
      <c r="D153" s="378" t="s">
        <v>281</v>
      </c>
      <c r="E153" s="378" t="s">
        <v>282</v>
      </c>
      <c r="F153" s="379" t="s">
        <v>283</v>
      </c>
      <c r="G153" s="380" t="s">
        <v>284</v>
      </c>
      <c r="I153" s="0"/>
    </row>
    <row r="154" customFormat="false" ht="15" hidden="false" customHeight="false" outlineLevel="0" collapsed="false">
      <c r="B154" s="381" t="s">
        <v>410</v>
      </c>
      <c r="C154" s="382" t="s">
        <v>411</v>
      </c>
      <c r="D154" s="383" t="s">
        <v>294</v>
      </c>
      <c r="E154" s="399" t="n">
        <v>0.025</v>
      </c>
      <c r="F154" s="425" t="n">
        <v>13</v>
      </c>
      <c r="G154" s="384" t="n">
        <f aca="false">E154*F154</f>
        <v>0.325</v>
      </c>
      <c r="I154" s="0"/>
    </row>
    <row r="155" s="346" customFormat="true" ht="25.5" hidden="false" customHeight="false" outlineLevel="0" collapsed="false">
      <c r="A155" s="351"/>
      <c r="B155" s="483" t="s">
        <v>412</v>
      </c>
      <c r="C155" s="484" t="s">
        <v>413</v>
      </c>
      <c r="D155" s="383" t="s">
        <v>414</v>
      </c>
      <c r="E155" s="399" t="n">
        <v>2.118</v>
      </c>
      <c r="F155" s="399" t="n">
        <v>0.15</v>
      </c>
      <c r="G155" s="384" t="n">
        <f aca="false">E155*F155</f>
        <v>0.3177</v>
      </c>
      <c r="H155" s="0"/>
      <c r="I155" s="0"/>
      <c r="J155" s="0"/>
      <c r="K155" s="0"/>
    </row>
    <row r="156" customFormat="false" ht="15" hidden="false" customHeight="false" outlineLevel="0" collapsed="false">
      <c r="B156" s="381" t="s">
        <v>415</v>
      </c>
      <c r="C156" s="382" t="s">
        <v>416</v>
      </c>
      <c r="D156" s="383" t="s">
        <v>297</v>
      </c>
      <c r="E156" s="399" t="n">
        <v>0.014</v>
      </c>
      <c r="F156" s="399" t="n">
        <v>11.51</v>
      </c>
      <c r="G156" s="384" t="n">
        <f aca="false">E156*F156</f>
        <v>0.16114</v>
      </c>
      <c r="I156" s="0"/>
    </row>
    <row r="157" customFormat="false" ht="15" hidden="false" customHeight="false" outlineLevel="0" collapsed="false">
      <c r="B157" s="381" t="s">
        <v>417</v>
      </c>
      <c r="C157" s="382" t="s">
        <v>418</v>
      </c>
      <c r="D157" s="383" t="s">
        <v>297</v>
      </c>
      <c r="E157" s="399" t="n">
        <v>0.0855</v>
      </c>
      <c r="F157" s="399" t="n">
        <v>15.12</v>
      </c>
      <c r="G157" s="384" t="n">
        <f aca="false">E157*F157</f>
        <v>1.29276</v>
      </c>
      <c r="I157" s="0"/>
    </row>
    <row r="158" customFormat="false" ht="15.75" hidden="false" customHeight="false" outlineLevel="0" collapsed="false">
      <c r="B158" s="381" t="s">
        <v>423</v>
      </c>
      <c r="C158" s="382" t="s">
        <v>424</v>
      </c>
      <c r="D158" s="383" t="s">
        <v>294</v>
      </c>
      <c r="E158" s="399" t="n">
        <v>1</v>
      </c>
      <c r="F158" s="399" t="n">
        <v>5.66</v>
      </c>
      <c r="G158" s="416" t="n">
        <f aca="false">E158*F158</f>
        <v>5.66</v>
      </c>
      <c r="I158" s="0"/>
    </row>
    <row r="159" customFormat="false" ht="15.75" hidden="false" customHeight="false" outlineLevel="0" collapsed="false">
      <c r="B159" s="385"/>
      <c r="C159" s="386"/>
      <c r="D159" s="386"/>
      <c r="E159" s="386"/>
      <c r="F159" s="386"/>
      <c r="G159" s="370" t="n">
        <f aca="false">SUM(G154:G158)</f>
        <v>7.7566</v>
      </c>
      <c r="I159" s="0"/>
    </row>
    <row r="160" customFormat="false" ht="15" hidden="false" customHeight="false" outlineLevel="0" collapsed="false">
      <c r="B160" s="388"/>
      <c r="C160" s="158"/>
      <c r="D160" s="389"/>
      <c r="E160" s="389"/>
      <c r="F160" s="389"/>
      <c r="G160" s="390"/>
      <c r="I160" s="0"/>
    </row>
    <row r="161" customFormat="false" ht="15.75" hidden="false" customHeight="false" outlineLevel="0" collapsed="false">
      <c r="I161" s="0"/>
    </row>
    <row r="162" s="346" customFormat="true" ht="28.5" hidden="false" customHeight="true" outlineLevel="0" collapsed="false">
      <c r="A162" s="351"/>
      <c r="B162" s="372" t="s">
        <v>425</v>
      </c>
      <c r="C162" s="373" t="s">
        <v>426</v>
      </c>
      <c r="D162" s="431" t="s">
        <v>45</v>
      </c>
      <c r="E162" s="431"/>
      <c r="F162" s="431"/>
      <c r="G162" s="431"/>
      <c r="H162" s="0"/>
      <c r="I162" s="0"/>
      <c r="J162" s="0"/>
      <c r="K162" s="0"/>
    </row>
    <row r="163" customFormat="false" ht="15" hidden="false" customHeight="false" outlineLevel="0" collapsed="false">
      <c r="B163" s="376" t="s">
        <v>279</v>
      </c>
      <c r="C163" s="377" t="s">
        <v>280</v>
      </c>
      <c r="D163" s="378" t="s">
        <v>281</v>
      </c>
      <c r="E163" s="378" t="s">
        <v>282</v>
      </c>
      <c r="F163" s="379" t="s">
        <v>283</v>
      </c>
      <c r="G163" s="380" t="s">
        <v>284</v>
      </c>
      <c r="I163" s="0"/>
    </row>
    <row r="164" customFormat="false" ht="15" hidden="false" customHeight="false" outlineLevel="0" collapsed="false">
      <c r="B164" s="381" t="s">
        <v>410</v>
      </c>
      <c r="C164" s="382" t="s">
        <v>411</v>
      </c>
      <c r="D164" s="383" t="s">
        <v>294</v>
      </c>
      <c r="E164" s="399" t="n">
        <v>0.025</v>
      </c>
      <c r="F164" s="425" t="n">
        <v>13</v>
      </c>
      <c r="G164" s="384" t="n">
        <f aca="false">E164*F164</f>
        <v>0.325</v>
      </c>
      <c r="I164" s="0"/>
    </row>
    <row r="165" s="346" customFormat="true" ht="25.5" hidden="false" customHeight="false" outlineLevel="0" collapsed="false">
      <c r="A165" s="351"/>
      <c r="B165" s="483" t="s">
        <v>412</v>
      </c>
      <c r="C165" s="484" t="s">
        <v>413</v>
      </c>
      <c r="D165" s="383" t="s">
        <v>414</v>
      </c>
      <c r="E165" s="485" t="n">
        <v>1.333</v>
      </c>
      <c r="F165" s="399" t="n">
        <v>0.15</v>
      </c>
      <c r="G165" s="384" t="n">
        <f aca="false">E165*F165</f>
        <v>0.19995</v>
      </c>
      <c r="H165" s="0"/>
      <c r="I165" s="0"/>
      <c r="J165" s="0"/>
      <c r="K165" s="0"/>
    </row>
    <row r="166" customFormat="false" ht="15" hidden="false" customHeight="false" outlineLevel="0" collapsed="false">
      <c r="B166" s="381" t="s">
        <v>415</v>
      </c>
      <c r="C166" s="382" t="s">
        <v>416</v>
      </c>
      <c r="D166" s="383" t="s">
        <v>297</v>
      </c>
      <c r="E166" s="399" t="n">
        <v>0.0105</v>
      </c>
      <c r="F166" s="399" t="n">
        <v>11.51</v>
      </c>
      <c r="G166" s="384" t="n">
        <f aca="false">E166*F166</f>
        <v>0.120855</v>
      </c>
      <c r="I166" s="0"/>
    </row>
    <row r="167" customFormat="false" ht="15" hidden="false" customHeight="false" outlineLevel="0" collapsed="false">
      <c r="B167" s="381" t="s">
        <v>417</v>
      </c>
      <c r="C167" s="382" t="s">
        <v>418</v>
      </c>
      <c r="D167" s="383" t="s">
        <v>297</v>
      </c>
      <c r="E167" s="399" t="n">
        <v>0.0646</v>
      </c>
      <c r="F167" s="399" t="n">
        <v>15.12</v>
      </c>
      <c r="G167" s="384" t="n">
        <f aca="false">E167*F167</f>
        <v>0.976752</v>
      </c>
      <c r="I167" s="0"/>
    </row>
    <row r="168" customFormat="false" ht="15.75" hidden="false" customHeight="false" outlineLevel="0" collapsed="false">
      <c r="B168" s="381" t="s">
        <v>427</v>
      </c>
      <c r="C168" s="382" t="s">
        <v>428</v>
      </c>
      <c r="D168" s="383" t="s">
        <v>294</v>
      </c>
      <c r="E168" s="399" t="n">
        <v>1</v>
      </c>
      <c r="F168" s="399" t="n">
        <v>5.47</v>
      </c>
      <c r="G168" s="416" t="n">
        <f aca="false">E168*F168</f>
        <v>5.47</v>
      </c>
      <c r="I168" s="0"/>
    </row>
    <row r="169" customFormat="false" ht="15.75" hidden="false" customHeight="false" outlineLevel="0" collapsed="false">
      <c r="B169" s="385"/>
      <c r="C169" s="386"/>
      <c r="D169" s="386"/>
      <c r="E169" s="386"/>
      <c r="F169" s="386"/>
      <c r="G169" s="370" t="n">
        <f aca="false">SUM(G164:G168)</f>
        <v>7.092557</v>
      </c>
      <c r="I169" s="0"/>
    </row>
    <row r="170" customFormat="false" ht="15" hidden="false" customHeight="false" outlineLevel="0" collapsed="false">
      <c r="B170" s="388"/>
      <c r="C170" s="158"/>
      <c r="D170" s="389"/>
      <c r="E170" s="389"/>
      <c r="F170" s="389"/>
      <c r="G170" s="390"/>
      <c r="I170" s="0"/>
    </row>
    <row r="171" customFormat="false" ht="15.75" hidden="false" customHeight="false" outlineLevel="0" collapsed="false">
      <c r="I171" s="0"/>
    </row>
    <row r="172" s="346" customFormat="true" ht="28.5" hidden="false" customHeight="true" outlineLevel="0" collapsed="false">
      <c r="A172" s="351"/>
      <c r="B172" s="372" t="s">
        <v>429</v>
      </c>
      <c r="C172" s="373" t="s">
        <v>430</v>
      </c>
      <c r="D172" s="431" t="s">
        <v>45</v>
      </c>
      <c r="E172" s="431"/>
      <c r="F172" s="431"/>
      <c r="G172" s="431"/>
      <c r="H172" s="0"/>
      <c r="I172" s="0"/>
      <c r="J172" s="0"/>
      <c r="K172" s="0"/>
    </row>
    <row r="173" customFormat="false" ht="15" hidden="false" customHeight="false" outlineLevel="0" collapsed="false">
      <c r="B173" s="376" t="s">
        <v>279</v>
      </c>
      <c r="C173" s="377" t="s">
        <v>280</v>
      </c>
      <c r="D173" s="378" t="s">
        <v>281</v>
      </c>
      <c r="E173" s="378" t="s">
        <v>282</v>
      </c>
      <c r="F173" s="379" t="s">
        <v>283</v>
      </c>
      <c r="G173" s="380" t="s">
        <v>284</v>
      </c>
      <c r="I173" s="0"/>
    </row>
    <row r="174" customFormat="false" ht="15" hidden="false" customHeight="false" outlineLevel="0" collapsed="false">
      <c r="B174" s="381" t="s">
        <v>410</v>
      </c>
      <c r="C174" s="382" t="s">
        <v>411</v>
      </c>
      <c r="D174" s="383" t="s">
        <v>294</v>
      </c>
      <c r="E174" s="399" t="n">
        <v>0.025</v>
      </c>
      <c r="F174" s="425" t="n">
        <v>13</v>
      </c>
      <c r="G174" s="384" t="n">
        <f aca="false">E174*F174</f>
        <v>0.325</v>
      </c>
      <c r="I174" s="0"/>
    </row>
    <row r="175" s="346" customFormat="true" ht="25.5" hidden="false" customHeight="false" outlineLevel="0" collapsed="false">
      <c r="A175" s="351"/>
      <c r="B175" s="483" t="s">
        <v>412</v>
      </c>
      <c r="C175" s="484" t="s">
        <v>413</v>
      </c>
      <c r="D175" s="383" t="s">
        <v>414</v>
      </c>
      <c r="E175" s="399" t="n">
        <v>0.728</v>
      </c>
      <c r="F175" s="399" t="n">
        <v>0.15</v>
      </c>
      <c r="G175" s="384" t="n">
        <f aca="false">E175*F175</f>
        <v>0.1092</v>
      </c>
      <c r="H175" s="0"/>
      <c r="I175" s="0"/>
      <c r="J175" s="0"/>
      <c r="K175" s="0"/>
    </row>
    <row r="176" customFormat="false" ht="15" hidden="false" customHeight="false" outlineLevel="0" collapsed="false">
      <c r="B176" s="381" t="s">
        <v>415</v>
      </c>
      <c r="C176" s="382" t="s">
        <v>416</v>
      </c>
      <c r="D176" s="383" t="s">
        <v>297</v>
      </c>
      <c r="E176" s="399" t="n">
        <v>0.0078</v>
      </c>
      <c r="F176" s="399" t="n">
        <v>11.51</v>
      </c>
      <c r="G176" s="384" t="n">
        <f aca="false">E176*F176</f>
        <v>0.089778</v>
      </c>
      <c r="I176" s="0"/>
    </row>
    <row r="177" customFormat="false" ht="15" hidden="false" customHeight="false" outlineLevel="0" collapsed="false">
      <c r="B177" s="381" t="s">
        <v>417</v>
      </c>
      <c r="C177" s="382" t="s">
        <v>418</v>
      </c>
      <c r="D177" s="383" t="s">
        <v>297</v>
      </c>
      <c r="E177" s="399" t="n">
        <v>0.0475</v>
      </c>
      <c r="F177" s="399" t="n">
        <v>15.12</v>
      </c>
      <c r="G177" s="384" t="n">
        <f aca="false">E177*F177</f>
        <v>0.7182</v>
      </c>
      <c r="I177" s="0"/>
    </row>
    <row r="178" customFormat="false" ht="15.75" hidden="false" customHeight="false" outlineLevel="0" collapsed="false">
      <c r="B178" s="381" t="s">
        <v>431</v>
      </c>
      <c r="C178" s="382" t="s">
        <v>432</v>
      </c>
      <c r="D178" s="383" t="s">
        <v>294</v>
      </c>
      <c r="E178" s="399" t="n">
        <v>1</v>
      </c>
      <c r="F178" s="399" t="n">
        <v>6.04</v>
      </c>
      <c r="G178" s="416" t="n">
        <f aca="false">E178*F178</f>
        <v>6.04</v>
      </c>
      <c r="I178" s="0"/>
    </row>
    <row r="179" customFormat="false" ht="15.75" hidden="false" customHeight="false" outlineLevel="0" collapsed="false">
      <c r="B179" s="385"/>
      <c r="C179" s="386"/>
      <c r="D179" s="386"/>
      <c r="E179" s="386"/>
      <c r="F179" s="386"/>
      <c r="G179" s="370" t="n">
        <f aca="false">SUM(G174:G178)</f>
        <v>7.282178</v>
      </c>
      <c r="I179" s="0"/>
    </row>
    <row r="180" customFormat="false" ht="15" hidden="false" customHeight="false" outlineLevel="0" collapsed="false">
      <c r="B180" s="388"/>
      <c r="C180" s="158"/>
      <c r="D180" s="389"/>
      <c r="E180" s="389"/>
      <c r="F180" s="389"/>
      <c r="G180" s="390"/>
      <c r="I180" s="0"/>
    </row>
    <row r="181" customFormat="false" ht="15.75" hidden="false" customHeight="false" outlineLevel="0" collapsed="false">
      <c r="I181" s="0"/>
    </row>
    <row r="182" customFormat="false" ht="28.5" hidden="false" customHeight="true" outlineLevel="0" collapsed="false">
      <c r="B182" s="471" t="s">
        <v>433</v>
      </c>
      <c r="C182" s="472" t="s">
        <v>434</v>
      </c>
      <c r="D182" s="431" t="s">
        <v>17</v>
      </c>
      <c r="E182" s="431"/>
      <c r="F182" s="431"/>
      <c r="G182" s="431"/>
      <c r="I182" s="0"/>
    </row>
    <row r="183" customFormat="false" ht="15" hidden="false" customHeight="false" outlineLevel="0" collapsed="false">
      <c r="B183" s="376" t="s">
        <v>279</v>
      </c>
      <c r="C183" s="377" t="s">
        <v>280</v>
      </c>
      <c r="D183" s="377" t="s">
        <v>281</v>
      </c>
      <c r="E183" s="377" t="s">
        <v>282</v>
      </c>
      <c r="F183" s="473" t="s">
        <v>283</v>
      </c>
      <c r="G183" s="474" t="s">
        <v>284</v>
      </c>
      <c r="I183" s="0"/>
    </row>
    <row r="184" customFormat="false" ht="15" hidden="false" customHeight="false" outlineLevel="0" collapsed="false">
      <c r="B184" s="420" t="s">
        <v>435</v>
      </c>
      <c r="C184" s="426" t="s">
        <v>436</v>
      </c>
      <c r="D184" s="427" t="s">
        <v>45</v>
      </c>
      <c r="E184" s="426" t="n">
        <v>1.5</v>
      </c>
      <c r="F184" s="428" t="n">
        <v>48.42</v>
      </c>
      <c r="G184" s="481" t="n">
        <f aca="false">E184*F184</f>
        <v>72.63</v>
      </c>
      <c r="I184" s="0"/>
    </row>
    <row r="185" customFormat="false" ht="15.75" hidden="false" customHeight="false" outlineLevel="0" collapsed="false">
      <c r="B185" s="420" t="s">
        <v>359</v>
      </c>
      <c r="C185" s="426" t="s">
        <v>360</v>
      </c>
      <c r="D185" s="427" t="s">
        <v>297</v>
      </c>
      <c r="E185" s="426" t="n">
        <v>0.25</v>
      </c>
      <c r="F185" s="428" t="n">
        <v>15.2</v>
      </c>
      <c r="G185" s="481" t="n">
        <f aca="false">E185*F185</f>
        <v>3.8</v>
      </c>
      <c r="I185" s="0"/>
    </row>
    <row r="186" customFormat="false" ht="15.75" hidden="false" customHeight="false" outlineLevel="0" collapsed="false">
      <c r="B186" s="385"/>
      <c r="C186" s="386"/>
      <c r="D186" s="386"/>
      <c r="E186" s="386"/>
      <c r="F186" s="386"/>
      <c r="G186" s="482" t="n">
        <f aca="false">SUM(G184:G185)</f>
        <v>76.43</v>
      </c>
      <c r="I186" s="0"/>
    </row>
    <row r="187" customFormat="false" ht="15.75" hidden="false" customHeight="false" outlineLevel="0" collapsed="false">
      <c r="B187" s="393" t="s">
        <v>437</v>
      </c>
      <c r="C187" s="393"/>
      <c r="D187" s="393"/>
      <c r="E187" s="393"/>
      <c r="F187" s="393"/>
      <c r="G187" s="393"/>
      <c r="I187" s="0"/>
    </row>
    <row r="188" customFormat="false" ht="15" hidden="false" customHeight="false" outlineLevel="0" collapsed="false">
      <c r="I188" s="0"/>
    </row>
    <row r="189" customFormat="false" ht="15.75" hidden="false" customHeight="false" outlineLevel="0" collapsed="false">
      <c r="I189" s="0"/>
    </row>
    <row r="190" s="346" customFormat="true" ht="28.5" hidden="false" customHeight="true" outlineLevel="0" collapsed="false">
      <c r="A190" s="351"/>
      <c r="B190" s="450" t="s">
        <v>438</v>
      </c>
      <c r="C190" s="451" t="s">
        <v>439</v>
      </c>
      <c r="D190" s="452" t="s">
        <v>17</v>
      </c>
      <c r="E190" s="452"/>
      <c r="F190" s="452"/>
      <c r="G190" s="452"/>
      <c r="H190" s="0"/>
      <c r="I190" s="0"/>
      <c r="J190" s="0"/>
      <c r="K190" s="0"/>
    </row>
    <row r="191" customFormat="false" ht="15" hidden="false" customHeight="false" outlineLevel="0" collapsed="false">
      <c r="B191" s="453" t="s">
        <v>279</v>
      </c>
      <c r="C191" s="454" t="s">
        <v>280</v>
      </c>
      <c r="D191" s="455" t="s">
        <v>281</v>
      </c>
      <c r="E191" s="455" t="s">
        <v>282</v>
      </c>
      <c r="F191" s="456" t="s">
        <v>283</v>
      </c>
      <c r="G191" s="457" t="s">
        <v>284</v>
      </c>
      <c r="I191" s="0"/>
    </row>
    <row r="192" customFormat="false" ht="15" hidden="false" customHeight="false" outlineLevel="0" collapsed="false">
      <c r="B192" s="420" t="s">
        <v>440</v>
      </c>
      <c r="C192" s="486" t="s">
        <v>441</v>
      </c>
      <c r="D192" s="397" t="s">
        <v>442</v>
      </c>
      <c r="E192" s="365" t="n">
        <v>0.32</v>
      </c>
      <c r="F192" s="364" t="n">
        <v>113.77</v>
      </c>
      <c r="G192" s="469" t="n">
        <f aca="false">E192*F192</f>
        <v>36.4064</v>
      </c>
      <c r="I192" s="0"/>
    </row>
    <row r="193" customFormat="false" ht="15.75" hidden="false" customHeight="false" outlineLevel="0" collapsed="false">
      <c r="B193" s="487" t="s">
        <v>298</v>
      </c>
      <c r="C193" s="488" t="s">
        <v>299</v>
      </c>
      <c r="D193" s="383" t="s">
        <v>297</v>
      </c>
      <c r="E193" s="399" t="n">
        <v>2.66</v>
      </c>
      <c r="F193" s="365" t="n">
        <v>12.22</v>
      </c>
      <c r="G193" s="489" t="n">
        <f aca="false">E193*F193</f>
        <v>32.5052</v>
      </c>
      <c r="I193" s="0"/>
    </row>
    <row r="194" customFormat="false" ht="15.75" hidden="false" customHeight="false" outlineLevel="0" collapsed="false">
      <c r="B194" s="459"/>
      <c r="C194" s="460"/>
      <c r="D194" s="461"/>
      <c r="E194" s="461"/>
      <c r="F194" s="461"/>
      <c r="G194" s="462" t="n">
        <f aca="false">SUM(G192:G193)</f>
        <v>68.9116</v>
      </c>
      <c r="I194" s="0"/>
    </row>
    <row r="195" customFormat="false" ht="15.75" hidden="false" customHeight="false" outlineLevel="0" collapsed="false">
      <c r="B195" s="393" t="s">
        <v>443</v>
      </c>
      <c r="C195" s="393"/>
      <c r="D195" s="393"/>
      <c r="E195" s="393"/>
      <c r="F195" s="393"/>
      <c r="G195" s="393"/>
      <c r="I195" s="0"/>
    </row>
    <row r="196" customFormat="false" ht="15" hidden="false" customHeight="false" outlineLevel="0" collapsed="false">
      <c r="B196" s="388"/>
      <c r="C196" s="158"/>
      <c r="D196" s="389"/>
      <c r="E196" s="389"/>
      <c r="F196" s="389"/>
      <c r="G196" s="390"/>
      <c r="I196" s="0"/>
    </row>
    <row r="197" customFormat="false" ht="15.75" hidden="false" customHeight="false" outlineLevel="0" collapsed="false">
      <c r="I197" s="0"/>
    </row>
    <row r="198" s="346" customFormat="true" ht="28.5" hidden="false" customHeight="true" outlineLevel="0" collapsed="false">
      <c r="A198" s="351"/>
      <c r="B198" s="372" t="s">
        <v>444</v>
      </c>
      <c r="C198" s="490" t="s">
        <v>445</v>
      </c>
      <c r="D198" s="431" t="s">
        <v>17</v>
      </c>
      <c r="E198" s="431"/>
      <c r="F198" s="431"/>
      <c r="G198" s="431"/>
      <c r="H198" s="0"/>
      <c r="I198" s="0"/>
      <c r="J198" s="0"/>
      <c r="K198" s="0"/>
    </row>
    <row r="199" customFormat="false" ht="15" hidden="false" customHeight="false" outlineLevel="0" collapsed="false">
      <c r="B199" s="443" t="s">
        <v>279</v>
      </c>
      <c r="C199" s="444" t="s">
        <v>280</v>
      </c>
      <c r="D199" s="445" t="s">
        <v>281</v>
      </c>
      <c r="E199" s="445" t="s">
        <v>282</v>
      </c>
      <c r="F199" s="61" t="s">
        <v>283</v>
      </c>
      <c r="G199" s="446" t="s">
        <v>284</v>
      </c>
      <c r="I199" s="0"/>
    </row>
    <row r="200" customFormat="false" ht="15" hidden="false" customHeight="false" outlineLevel="0" collapsed="false">
      <c r="B200" s="420" t="s">
        <v>446</v>
      </c>
      <c r="C200" s="382" t="s">
        <v>447</v>
      </c>
      <c r="D200" s="491" t="s">
        <v>65</v>
      </c>
      <c r="E200" s="491" t="n">
        <v>5.5</v>
      </c>
      <c r="F200" s="491" t="n">
        <v>10.87</v>
      </c>
      <c r="G200" s="492" t="n">
        <f aca="false">E200*F200</f>
        <v>59.785</v>
      </c>
      <c r="I200" s="0"/>
    </row>
    <row r="201" s="346" customFormat="true" ht="29.25" hidden="false" customHeight="true" outlineLevel="0" collapsed="false">
      <c r="A201" s="351"/>
      <c r="B201" s="90" t="s">
        <v>448</v>
      </c>
      <c r="C201" s="484" t="s">
        <v>449</v>
      </c>
      <c r="D201" s="383" t="s">
        <v>386</v>
      </c>
      <c r="E201" s="383" t="n">
        <v>0.02</v>
      </c>
      <c r="F201" s="383" t="n">
        <v>125.28</v>
      </c>
      <c r="G201" s="492" t="n">
        <f aca="false">E201*F201</f>
        <v>2.5056</v>
      </c>
    </row>
    <row r="202" customFormat="false" ht="15" hidden="false" customHeight="false" outlineLevel="0" collapsed="false">
      <c r="B202" s="381" t="s">
        <v>450</v>
      </c>
      <c r="C202" s="458" t="s">
        <v>451</v>
      </c>
      <c r="D202" s="491" t="s">
        <v>328</v>
      </c>
      <c r="E202" s="491" t="n">
        <v>1.4</v>
      </c>
      <c r="F202" s="493" t="n">
        <v>30.76</v>
      </c>
      <c r="G202" s="492" t="n">
        <f aca="false">E202*F202</f>
        <v>43.064</v>
      </c>
      <c r="I202" s="0"/>
    </row>
    <row r="203" customFormat="false" ht="15" hidden="false" customHeight="false" outlineLevel="0" collapsed="false">
      <c r="B203" s="381" t="s">
        <v>452</v>
      </c>
      <c r="C203" s="458" t="s">
        <v>453</v>
      </c>
      <c r="D203" s="491" t="s">
        <v>294</v>
      </c>
      <c r="E203" s="491" t="n">
        <v>0.02</v>
      </c>
      <c r="F203" s="494" t="n">
        <v>12.5</v>
      </c>
      <c r="G203" s="492" t="n">
        <f aca="false">E203*F203</f>
        <v>0.25</v>
      </c>
      <c r="I203" s="0"/>
    </row>
    <row r="204" customFormat="false" ht="15" hidden="false" customHeight="false" outlineLevel="0" collapsed="false">
      <c r="B204" s="381" t="s">
        <v>295</v>
      </c>
      <c r="C204" s="382" t="s">
        <v>296</v>
      </c>
      <c r="D204" s="491" t="s">
        <v>297</v>
      </c>
      <c r="E204" s="491" t="n">
        <v>2.24</v>
      </c>
      <c r="F204" s="491" t="n">
        <v>15.08</v>
      </c>
      <c r="G204" s="492" t="n">
        <f aca="false">E204*F204</f>
        <v>33.7792</v>
      </c>
      <c r="I204" s="0"/>
    </row>
    <row r="205" customFormat="false" ht="15.75" hidden="false" customHeight="false" outlineLevel="0" collapsed="false">
      <c r="B205" s="495" t="s">
        <v>298</v>
      </c>
      <c r="C205" s="467" t="s">
        <v>299</v>
      </c>
      <c r="D205" s="383" t="s">
        <v>297</v>
      </c>
      <c r="E205" s="364" t="n">
        <v>2.12</v>
      </c>
      <c r="F205" s="365" t="n">
        <v>12.22</v>
      </c>
      <c r="G205" s="492" t="n">
        <f aca="false">E205*F205</f>
        <v>25.9064</v>
      </c>
      <c r="I205" s="0"/>
    </row>
    <row r="206" customFormat="false" ht="15.75" hidden="false" customHeight="false" outlineLevel="0" collapsed="false">
      <c r="B206" s="496"/>
      <c r="C206" s="387"/>
      <c r="D206" s="387"/>
      <c r="E206" s="387"/>
      <c r="F206" s="387"/>
      <c r="G206" s="370" t="n">
        <f aca="false">SUM(G200:G205)</f>
        <v>165.2902</v>
      </c>
      <c r="I206" s="0"/>
    </row>
    <row r="207" customFormat="false" ht="15.75" hidden="false" customHeight="false" outlineLevel="0" collapsed="false">
      <c r="B207" s="393" t="s">
        <v>454</v>
      </c>
      <c r="C207" s="393"/>
      <c r="D207" s="393"/>
      <c r="E207" s="393"/>
      <c r="F207" s="393"/>
      <c r="G207" s="393"/>
      <c r="H207" s="345"/>
      <c r="J207" s="345"/>
      <c r="K207" s="345"/>
    </row>
    <row r="208" customFormat="false" ht="15" hidden="false" customHeight="false" outlineLevel="0" collapsed="false">
      <c r="A208" s="351"/>
      <c r="B208" s="351"/>
      <c r="C208" s="351"/>
      <c r="D208" s="351"/>
      <c r="E208" s="351"/>
      <c r="F208" s="351"/>
      <c r="G208" s="351"/>
      <c r="I208" s="0"/>
    </row>
    <row r="209" customFormat="false" ht="15.75" hidden="false" customHeight="false" outlineLevel="0" collapsed="false">
      <c r="A209" s="351"/>
      <c r="B209" s="351"/>
      <c r="C209" s="351"/>
      <c r="D209" s="351"/>
      <c r="E209" s="351"/>
      <c r="F209" s="351"/>
      <c r="G209" s="351"/>
      <c r="I209" s="0"/>
    </row>
    <row r="210" s="346" customFormat="true" ht="28.5" hidden="false" customHeight="true" outlineLevel="0" collapsed="false">
      <c r="A210" s="351"/>
      <c r="B210" s="372" t="s">
        <v>455</v>
      </c>
      <c r="C210" s="490" t="s">
        <v>456</v>
      </c>
      <c r="D210" s="431" t="s">
        <v>35</v>
      </c>
      <c r="E210" s="431"/>
      <c r="F210" s="431"/>
      <c r="G210" s="431"/>
      <c r="H210" s="0"/>
      <c r="I210" s="0"/>
      <c r="J210" s="0"/>
      <c r="K210" s="0"/>
    </row>
    <row r="211" customFormat="false" ht="15" hidden="false" customHeight="false" outlineLevel="0" collapsed="false">
      <c r="B211" s="443" t="s">
        <v>279</v>
      </c>
      <c r="C211" s="444" t="s">
        <v>280</v>
      </c>
      <c r="D211" s="445" t="s">
        <v>281</v>
      </c>
      <c r="E211" s="445" t="s">
        <v>282</v>
      </c>
      <c r="F211" s="61" t="s">
        <v>283</v>
      </c>
      <c r="G211" s="446" t="s">
        <v>284</v>
      </c>
      <c r="I211" s="0"/>
    </row>
    <row r="212" customFormat="false" ht="15" hidden="false" customHeight="false" outlineLevel="0" collapsed="false">
      <c r="B212" s="381" t="s">
        <v>295</v>
      </c>
      <c r="C212" s="382" t="s">
        <v>296</v>
      </c>
      <c r="D212" s="491" t="s">
        <v>297</v>
      </c>
      <c r="E212" s="491" t="n">
        <v>1.846</v>
      </c>
      <c r="F212" s="491" t="n">
        <v>15.08</v>
      </c>
      <c r="G212" s="492" t="n">
        <f aca="false">E212*F212</f>
        <v>27.83768</v>
      </c>
      <c r="I212" s="0"/>
    </row>
    <row r="213" customFormat="false" ht="15" hidden="false" customHeight="false" outlineLevel="0" collapsed="false">
      <c r="B213" s="495" t="s">
        <v>359</v>
      </c>
      <c r="C213" s="467" t="s">
        <v>360</v>
      </c>
      <c r="D213" s="383" t="s">
        <v>297</v>
      </c>
      <c r="E213" s="497" t="n">
        <v>1.846</v>
      </c>
      <c r="F213" s="364" t="n">
        <v>15.2</v>
      </c>
      <c r="G213" s="492" t="n">
        <f aca="false">E213*F213</f>
        <v>28.0592</v>
      </c>
      <c r="I213" s="0"/>
    </row>
    <row r="214" customFormat="false" ht="15.75" hidden="false" customHeight="false" outlineLevel="0" collapsed="false">
      <c r="B214" s="495" t="s">
        <v>298</v>
      </c>
      <c r="C214" s="467" t="s">
        <v>299</v>
      </c>
      <c r="D214" s="383" t="s">
        <v>297</v>
      </c>
      <c r="E214" s="498" t="n">
        <v>5.538</v>
      </c>
      <c r="F214" s="365" t="n">
        <v>12.22</v>
      </c>
      <c r="G214" s="492" t="n">
        <f aca="false">E214*F214</f>
        <v>67.67436</v>
      </c>
      <c r="I214" s="0"/>
    </row>
    <row r="215" customFormat="false" ht="15.75" hidden="false" customHeight="false" outlineLevel="0" collapsed="false">
      <c r="B215" s="496"/>
      <c r="C215" s="387"/>
      <c r="D215" s="387"/>
      <c r="E215" s="387"/>
      <c r="F215" s="387"/>
      <c r="G215" s="370" t="n">
        <f aca="false">SUM(G212:G214)</f>
        <v>123.57124</v>
      </c>
      <c r="I215" s="0"/>
    </row>
    <row r="216" customFormat="false" ht="15.75" hidden="false" customHeight="false" outlineLevel="0" collapsed="false">
      <c r="B216" s="393" t="s">
        <v>457</v>
      </c>
      <c r="C216" s="393"/>
      <c r="D216" s="393"/>
      <c r="E216" s="393"/>
      <c r="F216" s="393"/>
      <c r="G216" s="393"/>
      <c r="I216" s="0"/>
    </row>
    <row r="217" customFormat="false" ht="15" hidden="false" customHeight="false" outlineLevel="0" collapsed="false">
      <c r="B217" s="0"/>
      <c r="D217" s="0"/>
      <c r="E217" s="0"/>
      <c r="F217" s="0"/>
      <c r="G217" s="0"/>
      <c r="H217" s="345"/>
      <c r="J217" s="345"/>
      <c r="K217" s="345"/>
    </row>
    <row r="218" customFormat="false" ht="15.75" hidden="false" customHeight="false" outlineLevel="0" collapsed="false">
      <c r="A218" s="351"/>
      <c r="B218" s="351"/>
      <c r="C218" s="351"/>
      <c r="D218" s="351"/>
      <c r="E218" s="351"/>
      <c r="F218" s="351"/>
      <c r="G218" s="351"/>
      <c r="I218" s="0"/>
    </row>
    <row r="219" s="346" customFormat="true" ht="28.5" hidden="false" customHeight="true" outlineLevel="0" collapsed="false">
      <c r="A219" s="351"/>
      <c r="B219" s="372" t="s">
        <v>458</v>
      </c>
      <c r="C219" s="490" t="s">
        <v>459</v>
      </c>
      <c r="D219" s="431" t="s">
        <v>35</v>
      </c>
      <c r="E219" s="431"/>
      <c r="F219" s="431"/>
      <c r="G219" s="431"/>
      <c r="H219" s="0"/>
      <c r="I219" s="0"/>
      <c r="J219" s="0"/>
      <c r="K219" s="0"/>
    </row>
    <row r="220" customFormat="false" ht="15" hidden="false" customHeight="false" outlineLevel="0" collapsed="false">
      <c r="B220" s="443" t="s">
        <v>279</v>
      </c>
      <c r="C220" s="444" t="s">
        <v>280</v>
      </c>
      <c r="D220" s="445" t="s">
        <v>281</v>
      </c>
      <c r="E220" s="445" t="s">
        <v>282</v>
      </c>
      <c r="F220" s="61" t="s">
        <v>283</v>
      </c>
      <c r="G220" s="446" t="s">
        <v>284</v>
      </c>
      <c r="I220" s="0"/>
    </row>
    <row r="221" customFormat="false" ht="15" hidden="false" customHeight="false" outlineLevel="0" collapsed="false">
      <c r="B221" s="381" t="s">
        <v>460</v>
      </c>
      <c r="C221" s="382" t="s">
        <v>461</v>
      </c>
      <c r="D221" s="491" t="s">
        <v>297</v>
      </c>
      <c r="E221" s="491" t="n">
        <v>1</v>
      </c>
      <c r="F221" s="499" t="n">
        <v>23.1294</v>
      </c>
      <c r="G221" s="492" t="n">
        <f aca="false">E221*F221</f>
        <v>23.1294</v>
      </c>
      <c r="I221" s="0"/>
    </row>
    <row r="222" customFormat="false" ht="15" hidden="false" customHeight="false" outlineLevel="0" collapsed="false">
      <c r="B222" s="381" t="s">
        <v>462</v>
      </c>
      <c r="C222" s="382" t="s">
        <v>463</v>
      </c>
      <c r="D222" s="491" t="s">
        <v>464</v>
      </c>
      <c r="E222" s="491" t="n">
        <f aca="false">2*0.87</f>
        <v>1.74</v>
      </c>
      <c r="F222" s="491" t="n">
        <v>0.297</v>
      </c>
      <c r="G222" s="492" t="n">
        <f aca="false">E222*F222</f>
        <v>0.51678</v>
      </c>
      <c r="I222" s="0"/>
    </row>
    <row r="223" customFormat="false" ht="15" hidden="false" customHeight="false" outlineLevel="0" collapsed="false">
      <c r="B223" s="381" t="s">
        <v>462</v>
      </c>
      <c r="C223" s="382" t="s">
        <v>463</v>
      </c>
      <c r="D223" s="491" t="s">
        <v>465</v>
      </c>
      <c r="E223" s="491" t="n">
        <f aca="false">2*0.13</f>
        <v>0.26</v>
      </c>
      <c r="F223" s="491" t="n">
        <v>0.2018</v>
      </c>
      <c r="G223" s="492" t="n">
        <f aca="false">E223*F223</f>
        <v>0.052468</v>
      </c>
      <c r="I223" s="0"/>
    </row>
    <row r="224" customFormat="false" ht="15" hidden="false" customHeight="false" outlineLevel="0" collapsed="false">
      <c r="B224" s="381" t="s">
        <v>466</v>
      </c>
      <c r="C224" s="382" t="s">
        <v>467</v>
      </c>
      <c r="D224" s="491" t="s">
        <v>464</v>
      </c>
      <c r="E224" s="491" t="n">
        <f aca="false">2*0.23</f>
        <v>0.46</v>
      </c>
      <c r="F224" s="364" t="n">
        <v>0.7221</v>
      </c>
      <c r="G224" s="492" t="n">
        <f aca="false">E224*F224</f>
        <v>0.332166</v>
      </c>
      <c r="I224" s="0"/>
    </row>
    <row r="225" customFormat="false" ht="15" hidden="false" customHeight="false" outlineLevel="0" collapsed="false">
      <c r="B225" s="381" t="s">
        <v>466</v>
      </c>
      <c r="C225" s="382" t="s">
        <v>467</v>
      </c>
      <c r="D225" s="491" t="s">
        <v>465</v>
      </c>
      <c r="E225" s="491" t="n">
        <f aca="false">2*0.77</f>
        <v>1.54</v>
      </c>
      <c r="F225" s="364" t="n">
        <v>0.4907</v>
      </c>
      <c r="G225" s="492" t="n">
        <f aca="false">E225*F225</f>
        <v>0.755678</v>
      </c>
      <c r="I225" s="0"/>
    </row>
    <row r="226" customFormat="false" ht="15" hidden="false" customHeight="false" outlineLevel="0" collapsed="false">
      <c r="B226" s="381" t="s">
        <v>468</v>
      </c>
      <c r="C226" s="382" t="s">
        <v>469</v>
      </c>
      <c r="D226" s="491" t="s">
        <v>294</v>
      </c>
      <c r="E226" s="491" t="n">
        <v>1475</v>
      </c>
      <c r="F226" s="364" t="n">
        <v>1.3297</v>
      </c>
      <c r="G226" s="492" t="n">
        <f aca="false">E226*F226</f>
        <v>1961.3075</v>
      </c>
      <c r="I226" s="0"/>
    </row>
    <row r="227" customFormat="false" ht="15" hidden="false" customHeight="false" outlineLevel="0" collapsed="false">
      <c r="B227" s="483" t="s">
        <v>468</v>
      </c>
      <c r="C227" s="458" t="s">
        <v>470</v>
      </c>
      <c r="D227" s="491" t="s">
        <v>471</v>
      </c>
      <c r="E227" s="491" t="n">
        <v>1.475</v>
      </c>
      <c r="F227" s="364" t="n">
        <v>19.98</v>
      </c>
      <c r="G227" s="492" t="n">
        <f aca="false">E227*F227</f>
        <v>29.4705</v>
      </c>
      <c r="I227" s="0"/>
    </row>
    <row r="228" customFormat="false" ht="15" hidden="false" customHeight="false" outlineLevel="0" collapsed="false">
      <c r="B228" s="381" t="s">
        <v>472</v>
      </c>
      <c r="C228" s="382" t="s">
        <v>473</v>
      </c>
      <c r="D228" s="491" t="s">
        <v>337</v>
      </c>
      <c r="E228" s="491" t="n">
        <v>0.49167</v>
      </c>
      <c r="F228" s="364" t="n">
        <v>87.0588</v>
      </c>
      <c r="G228" s="492" t="n">
        <f aca="false">E228*F228</f>
        <v>42.804200196</v>
      </c>
      <c r="I228" s="0"/>
    </row>
    <row r="229" customFormat="false" ht="15" hidden="false" customHeight="false" outlineLevel="0" collapsed="false">
      <c r="B229" s="381" t="s">
        <v>472</v>
      </c>
      <c r="C229" s="382" t="s">
        <v>474</v>
      </c>
      <c r="D229" s="491" t="s">
        <v>471</v>
      </c>
      <c r="E229" s="491" t="n">
        <v>0.73751</v>
      </c>
      <c r="F229" s="364" t="n">
        <v>0.9</v>
      </c>
      <c r="G229" s="492" t="n">
        <f aca="false">E229*F229</f>
        <v>0.663759</v>
      </c>
      <c r="I229" s="0"/>
    </row>
    <row r="230" customFormat="false" ht="15" hidden="false" customHeight="false" outlineLevel="0" collapsed="false">
      <c r="B230" s="495" t="s">
        <v>359</v>
      </c>
      <c r="C230" s="467" t="s">
        <v>360</v>
      </c>
      <c r="D230" s="383" t="s">
        <v>297</v>
      </c>
      <c r="E230" s="500" t="n">
        <v>1</v>
      </c>
      <c r="F230" s="364" t="n">
        <v>15.2</v>
      </c>
      <c r="G230" s="492" t="n">
        <f aca="false">E230*F230</f>
        <v>15.2</v>
      </c>
      <c r="I230" s="0"/>
    </row>
    <row r="231" customFormat="false" ht="15.75" hidden="false" customHeight="false" outlineLevel="0" collapsed="false">
      <c r="B231" s="495" t="s">
        <v>298</v>
      </c>
      <c r="C231" s="467" t="s">
        <v>299</v>
      </c>
      <c r="D231" s="383" t="s">
        <v>297</v>
      </c>
      <c r="E231" s="364" t="n">
        <v>8</v>
      </c>
      <c r="F231" s="365" t="n">
        <v>12.22</v>
      </c>
      <c r="G231" s="492" t="n">
        <f aca="false">E231*F231</f>
        <v>97.76</v>
      </c>
      <c r="I231" s="0"/>
    </row>
    <row r="232" customFormat="false" ht="15.75" hidden="false" customHeight="false" outlineLevel="0" collapsed="false">
      <c r="B232" s="496"/>
      <c r="C232" s="387"/>
      <c r="D232" s="387"/>
      <c r="E232" s="387"/>
      <c r="F232" s="387"/>
      <c r="G232" s="370" t="n">
        <f aca="false">SUM(G221:G231)</f>
        <v>2171.992451196</v>
      </c>
      <c r="I232" s="0"/>
    </row>
    <row r="233" customFormat="false" ht="15.75" hidden="false" customHeight="false" outlineLevel="0" collapsed="false">
      <c r="B233" s="393" t="s">
        <v>475</v>
      </c>
      <c r="C233" s="393"/>
      <c r="D233" s="393"/>
      <c r="E233" s="393"/>
      <c r="F233" s="393"/>
      <c r="G233" s="393"/>
      <c r="H233" s="345"/>
      <c r="J233" s="345"/>
      <c r="K233" s="345"/>
    </row>
    <row r="234" customFormat="false" ht="15" hidden="false" customHeight="false" outlineLevel="0" collapsed="false">
      <c r="I234" s="0"/>
    </row>
    <row r="235" customFormat="false" ht="15.75" hidden="false" customHeight="false" outlineLevel="0" collapsed="false">
      <c r="I235" s="0"/>
    </row>
    <row r="236" s="346" customFormat="true" ht="28.5" hidden="false" customHeight="true" outlineLevel="0" collapsed="false">
      <c r="A236" s="351"/>
      <c r="B236" s="429" t="s">
        <v>476</v>
      </c>
      <c r="C236" s="501" t="s">
        <v>477</v>
      </c>
      <c r="D236" s="431" t="s">
        <v>17</v>
      </c>
      <c r="E236" s="431"/>
      <c r="F236" s="431"/>
      <c r="G236" s="431"/>
      <c r="H236" s="0"/>
      <c r="I236" s="0"/>
      <c r="J236" s="0"/>
      <c r="K236" s="0"/>
    </row>
    <row r="237" customFormat="false" ht="15" hidden="false" customHeight="false" outlineLevel="0" collapsed="false">
      <c r="B237" s="443" t="s">
        <v>279</v>
      </c>
      <c r="C237" s="444" t="s">
        <v>344</v>
      </c>
      <c r="D237" s="445" t="s">
        <v>281</v>
      </c>
      <c r="E237" s="445" t="s">
        <v>282</v>
      </c>
      <c r="F237" s="61" t="s">
        <v>283</v>
      </c>
      <c r="G237" s="446" t="s">
        <v>284</v>
      </c>
    </row>
    <row r="238" customFormat="false" ht="15" hidden="false" customHeight="false" outlineLevel="0" collapsed="false">
      <c r="B238" s="502" t="s">
        <v>478</v>
      </c>
      <c r="C238" s="503" t="s">
        <v>479</v>
      </c>
      <c r="D238" s="397" t="s">
        <v>294</v>
      </c>
      <c r="E238" s="365" t="n">
        <v>0.2</v>
      </c>
      <c r="F238" s="365" t="n">
        <v>8.04</v>
      </c>
      <c r="G238" s="447" t="n">
        <f aca="false">E238*F238</f>
        <v>1.608</v>
      </c>
    </row>
    <row r="239" customFormat="false" ht="15.75" hidden="false" customHeight="false" outlineLevel="0" collapsed="false">
      <c r="B239" s="487" t="s">
        <v>298</v>
      </c>
      <c r="C239" s="488" t="s">
        <v>299</v>
      </c>
      <c r="D239" s="383" t="s">
        <v>297</v>
      </c>
      <c r="E239" s="399" t="n">
        <v>0.4</v>
      </c>
      <c r="F239" s="365" t="n">
        <v>12.22</v>
      </c>
      <c r="G239" s="447" t="n">
        <f aca="false">E239*F239</f>
        <v>4.888</v>
      </c>
      <c r="I239" s="0"/>
    </row>
    <row r="240" customFormat="false" ht="15.75" hidden="false" customHeight="false" outlineLevel="0" collapsed="false">
      <c r="B240" s="496"/>
      <c r="C240" s="387"/>
      <c r="D240" s="387"/>
      <c r="E240" s="387"/>
      <c r="F240" s="387"/>
      <c r="G240" s="370" t="n">
        <f aca="false">SUM(G238:G239)</f>
        <v>6.496</v>
      </c>
      <c r="I240" s="0"/>
    </row>
    <row r="241" customFormat="false" ht="15.75" hidden="false" customHeight="false" outlineLevel="0" collapsed="false">
      <c r="B241" s="393" t="s">
        <v>480</v>
      </c>
      <c r="C241" s="393"/>
      <c r="D241" s="393"/>
      <c r="E241" s="393"/>
      <c r="F241" s="393"/>
      <c r="G241" s="393"/>
      <c r="I241" s="0"/>
    </row>
    <row r="242" customFormat="false" ht="15" hidden="false" customHeight="false" outlineLevel="0" collapsed="false">
      <c r="I242" s="0"/>
    </row>
    <row r="243" customFormat="false" ht="15.75" hidden="false" customHeight="false" outlineLevel="0" collapsed="false">
      <c r="I243" s="0"/>
    </row>
    <row r="244" customFormat="false" ht="15.75" hidden="false" customHeight="false" outlineLevel="0" collapsed="false">
      <c r="B244" s="372" t="s">
        <v>481</v>
      </c>
      <c r="C244" s="490" t="s">
        <v>482</v>
      </c>
      <c r="D244" s="431" t="s">
        <v>21</v>
      </c>
      <c r="E244" s="431"/>
      <c r="F244" s="431"/>
      <c r="G244" s="431"/>
      <c r="I244" s="0"/>
    </row>
    <row r="245" customFormat="false" ht="15" hidden="false" customHeight="false" outlineLevel="0" collapsed="false">
      <c r="B245" s="443" t="s">
        <v>279</v>
      </c>
      <c r="C245" s="444" t="s">
        <v>280</v>
      </c>
      <c r="D245" s="445" t="s">
        <v>281</v>
      </c>
      <c r="E245" s="445" t="s">
        <v>282</v>
      </c>
      <c r="F245" s="61" t="s">
        <v>283</v>
      </c>
      <c r="G245" s="446" t="s">
        <v>284</v>
      </c>
      <c r="I245" s="0"/>
    </row>
    <row r="246" customFormat="false" ht="15" hidden="false" customHeight="false" outlineLevel="0" collapsed="false">
      <c r="B246" s="381" t="s">
        <v>483</v>
      </c>
      <c r="C246" s="458" t="s">
        <v>484</v>
      </c>
      <c r="D246" s="491" t="s">
        <v>318</v>
      </c>
      <c r="E246" s="494" t="n">
        <v>0.01</v>
      </c>
      <c r="F246" s="494" t="n">
        <v>22</v>
      </c>
      <c r="G246" s="492" t="n">
        <f aca="false">E246*F246</f>
        <v>0.22</v>
      </c>
      <c r="I246" s="0"/>
    </row>
    <row r="247" customFormat="false" ht="15" hidden="false" customHeight="false" outlineLevel="0" collapsed="false">
      <c r="B247" s="420" t="s">
        <v>359</v>
      </c>
      <c r="C247" s="426" t="s">
        <v>360</v>
      </c>
      <c r="D247" s="427" t="s">
        <v>297</v>
      </c>
      <c r="E247" s="428" t="n">
        <v>1.1</v>
      </c>
      <c r="F247" s="428" t="n">
        <v>15.2</v>
      </c>
      <c r="G247" s="492" t="n">
        <f aca="false">E247*F247</f>
        <v>16.72</v>
      </c>
      <c r="I247" s="0"/>
    </row>
    <row r="248" customFormat="false" ht="15.75" hidden="false" customHeight="false" outlineLevel="0" collapsed="false">
      <c r="B248" s="487" t="s">
        <v>298</v>
      </c>
      <c r="C248" s="488" t="s">
        <v>299</v>
      </c>
      <c r="D248" s="383" t="s">
        <v>297</v>
      </c>
      <c r="E248" s="425" t="n">
        <v>0.55</v>
      </c>
      <c r="F248" s="365" t="n">
        <v>12.22</v>
      </c>
      <c r="G248" s="492" t="n">
        <f aca="false">E248*F248</f>
        <v>6.721</v>
      </c>
      <c r="I248" s="0"/>
    </row>
    <row r="249" customFormat="false" ht="15.75" hidden="false" customHeight="false" outlineLevel="0" collapsed="false">
      <c r="B249" s="496"/>
      <c r="C249" s="387"/>
      <c r="D249" s="387"/>
      <c r="E249" s="387"/>
      <c r="F249" s="387"/>
      <c r="G249" s="370" t="n">
        <f aca="false">SUM(G246:G248)</f>
        <v>23.661</v>
      </c>
      <c r="I249" s="0"/>
    </row>
    <row r="250" customFormat="false" ht="15.75" hidden="false" customHeight="false" outlineLevel="0" collapsed="false">
      <c r="B250" s="393" t="s">
        <v>485</v>
      </c>
      <c r="C250" s="393"/>
      <c r="D250" s="393"/>
      <c r="E250" s="393"/>
      <c r="F250" s="393"/>
      <c r="G250" s="393"/>
      <c r="I250" s="0"/>
    </row>
    <row r="251" customFormat="false" ht="15" hidden="false" customHeight="false" outlineLevel="0" collapsed="false">
      <c r="B251" s="470"/>
      <c r="C251" s="470"/>
      <c r="D251" s="470"/>
      <c r="E251" s="470"/>
      <c r="F251" s="470"/>
      <c r="G251" s="470"/>
      <c r="I251" s="0"/>
    </row>
    <row r="252" customFormat="false" ht="15.75" hidden="false" customHeight="false" outlineLevel="0" collapsed="false">
      <c r="I252" s="0"/>
    </row>
    <row r="253" s="346" customFormat="true" ht="15.75" hidden="false" customHeight="false" outlineLevel="0" collapsed="false">
      <c r="A253" s="351"/>
      <c r="B253" s="429" t="s">
        <v>486</v>
      </c>
      <c r="C253" s="442" t="s">
        <v>487</v>
      </c>
      <c r="D253" s="431" t="s">
        <v>17</v>
      </c>
      <c r="E253" s="431"/>
      <c r="F253" s="431"/>
      <c r="G253" s="431"/>
      <c r="H253" s="0"/>
      <c r="I253" s="0"/>
      <c r="J253" s="0"/>
      <c r="K253" s="0"/>
    </row>
    <row r="254" customFormat="false" ht="15" hidden="false" customHeight="false" outlineLevel="0" collapsed="false">
      <c r="B254" s="443" t="s">
        <v>279</v>
      </c>
      <c r="C254" s="444" t="s">
        <v>280</v>
      </c>
      <c r="D254" s="445" t="s">
        <v>281</v>
      </c>
      <c r="E254" s="445" t="s">
        <v>282</v>
      </c>
      <c r="F254" s="61" t="s">
        <v>283</v>
      </c>
      <c r="G254" s="446" t="s">
        <v>284</v>
      </c>
      <c r="I254" s="0"/>
    </row>
    <row r="255" customFormat="false" ht="15" hidden="false" customHeight="false" outlineLevel="0" collapsed="false">
      <c r="B255" s="466" t="s">
        <v>488</v>
      </c>
      <c r="C255" s="467" t="s">
        <v>489</v>
      </c>
      <c r="D255" s="438" t="s">
        <v>442</v>
      </c>
      <c r="E255" s="478" t="n">
        <f aca="false">1.03*0.15*5</f>
        <v>0.7725</v>
      </c>
      <c r="F255" s="364" t="n">
        <v>9.8</v>
      </c>
      <c r="G255" s="469" t="n">
        <f aca="false">E255*F255</f>
        <v>7.5705</v>
      </c>
      <c r="I255" s="0"/>
    </row>
    <row r="256" customFormat="false" ht="15" hidden="false" customHeight="false" outlineLevel="0" collapsed="false">
      <c r="B256" s="381" t="s">
        <v>490</v>
      </c>
      <c r="C256" s="382" t="s">
        <v>491</v>
      </c>
      <c r="D256" s="440" t="s">
        <v>297</v>
      </c>
      <c r="E256" s="504" t="n">
        <f aca="false">0.315*5</f>
        <v>1.575</v>
      </c>
      <c r="F256" s="365" t="n">
        <v>16.32</v>
      </c>
      <c r="G256" s="469" t="n">
        <f aca="false">E256*F256</f>
        <v>25.704</v>
      </c>
      <c r="I256" s="0"/>
    </row>
    <row r="257" customFormat="false" ht="15.75" hidden="false" customHeight="false" outlineLevel="0" collapsed="false">
      <c r="B257" s="381" t="s">
        <v>298</v>
      </c>
      <c r="C257" s="382" t="s">
        <v>299</v>
      </c>
      <c r="D257" s="440" t="s">
        <v>297</v>
      </c>
      <c r="E257" s="504" t="n">
        <f aca="false">0.105*5</f>
        <v>0.525</v>
      </c>
      <c r="F257" s="365" t="n">
        <v>12.22</v>
      </c>
      <c r="G257" s="469" t="n">
        <f aca="false">E257*F257</f>
        <v>6.4155</v>
      </c>
      <c r="I257" s="0"/>
    </row>
    <row r="258" customFormat="false" ht="15.75" hidden="false" customHeight="false" outlineLevel="0" collapsed="false">
      <c r="B258" s="385"/>
      <c r="C258" s="386"/>
      <c r="D258" s="387"/>
      <c r="E258" s="387"/>
      <c r="F258" s="387"/>
      <c r="G258" s="370" t="n">
        <f aca="false">SUM(G255:G257)</f>
        <v>39.69</v>
      </c>
      <c r="I258" s="0"/>
    </row>
    <row r="259" customFormat="false" ht="15.75" hidden="false" customHeight="false" outlineLevel="0" collapsed="false">
      <c r="B259" s="393" t="s">
        <v>492</v>
      </c>
      <c r="C259" s="393"/>
      <c r="D259" s="393"/>
      <c r="E259" s="393"/>
      <c r="F259" s="393"/>
      <c r="G259" s="393"/>
      <c r="I259" s="0"/>
    </row>
    <row r="260" customFormat="false" ht="15" hidden="false" customHeight="false" outlineLevel="0" collapsed="false">
      <c r="B260" s="400"/>
      <c r="C260" s="470"/>
      <c r="D260" s="470"/>
      <c r="E260" s="470"/>
      <c r="F260" s="470"/>
      <c r="G260" s="470"/>
      <c r="I260" s="0"/>
    </row>
    <row r="261" customFormat="false" ht="15.75" hidden="false" customHeight="false" outlineLevel="0" collapsed="false">
      <c r="B261" s="388"/>
      <c r="C261" s="470"/>
      <c r="D261" s="470"/>
      <c r="E261" s="470"/>
      <c r="F261" s="470"/>
      <c r="G261" s="470"/>
      <c r="I261" s="0"/>
    </row>
    <row r="262" s="346" customFormat="true" ht="28.5" hidden="false" customHeight="true" outlineLevel="0" collapsed="false">
      <c r="A262" s="351"/>
      <c r="B262" s="352" t="s">
        <v>493</v>
      </c>
      <c r="C262" s="353" t="s">
        <v>494</v>
      </c>
      <c r="D262" s="354" t="s">
        <v>21</v>
      </c>
      <c r="E262" s="354"/>
      <c r="F262" s="354"/>
      <c r="G262" s="354"/>
      <c r="H262" s="0"/>
      <c r="I262" s="505"/>
      <c r="J262" s="0"/>
      <c r="K262" s="0"/>
    </row>
    <row r="263" customFormat="false" ht="15" hidden="false" customHeight="false" outlineLevel="0" collapsed="false">
      <c r="B263" s="355" t="s">
        <v>279</v>
      </c>
      <c r="C263" s="356" t="s">
        <v>280</v>
      </c>
      <c r="D263" s="357" t="s">
        <v>281</v>
      </c>
      <c r="E263" s="357" t="s">
        <v>282</v>
      </c>
      <c r="F263" s="358" t="s">
        <v>283</v>
      </c>
      <c r="G263" s="359" t="s">
        <v>284</v>
      </c>
      <c r="I263" s="0"/>
    </row>
    <row r="264" customFormat="false" ht="15" hidden="false" customHeight="false" outlineLevel="0" collapsed="false">
      <c r="B264" s="443" t="s">
        <v>495</v>
      </c>
      <c r="C264" s="506" t="s">
        <v>496</v>
      </c>
      <c r="D264" s="423" t="s">
        <v>318</v>
      </c>
      <c r="E264" s="507" t="n">
        <v>4</v>
      </c>
      <c r="F264" s="508" t="n">
        <v>19.43</v>
      </c>
      <c r="G264" s="509" t="n">
        <f aca="false">E264*F264</f>
        <v>77.72</v>
      </c>
      <c r="I264" s="0"/>
    </row>
    <row r="265" s="346" customFormat="true" ht="15" hidden="false" customHeight="false" outlineLevel="0" collapsed="false">
      <c r="A265" s="351"/>
      <c r="B265" s="32" t="s">
        <v>497</v>
      </c>
      <c r="C265" s="391" t="s">
        <v>498</v>
      </c>
      <c r="D265" s="397" t="s">
        <v>294</v>
      </c>
      <c r="E265" s="500" t="n">
        <v>0.95</v>
      </c>
      <c r="F265" s="510" t="n">
        <v>113</v>
      </c>
      <c r="G265" s="509" t="n">
        <f aca="false">E265*F265</f>
        <v>107.35</v>
      </c>
      <c r="H265" s="0"/>
      <c r="I265" s="0"/>
      <c r="J265" s="0"/>
      <c r="K265" s="0"/>
    </row>
    <row r="266" customFormat="false" ht="15" hidden="false" customHeight="false" outlineLevel="0" collapsed="false">
      <c r="B266" s="420" t="s">
        <v>359</v>
      </c>
      <c r="C266" s="426" t="s">
        <v>360</v>
      </c>
      <c r="D266" s="427" t="s">
        <v>297</v>
      </c>
      <c r="E266" s="428" t="n">
        <v>1.2</v>
      </c>
      <c r="F266" s="428" t="n">
        <v>15.2</v>
      </c>
      <c r="G266" s="509" t="n">
        <f aca="false">E266*F266</f>
        <v>18.24</v>
      </c>
      <c r="I266" s="0"/>
    </row>
    <row r="267" customFormat="false" ht="15.75" hidden="false" customHeight="false" outlineLevel="0" collapsed="false">
      <c r="B267" s="487" t="s">
        <v>298</v>
      </c>
      <c r="C267" s="488" t="s">
        <v>299</v>
      </c>
      <c r="D267" s="383" t="s">
        <v>297</v>
      </c>
      <c r="E267" s="428" t="n">
        <v>1.2</v>
      </c>
      <c r="F267" s="365" t="n">
        <v>12.22</v>
      </c>
      <c r="G267" s="509" t="n">
        <f aca="false">E267*F267</f>
        <v>14.664</v>
      </c>
      <c r="I267" s="0"/>
    </row>
    <row r="268" customFormat="false" ht="15.75" hidden="false" customHeight="false" outlineLevel="0" collapsed="false">
      <c r="B268" s="496"/>
      <c r="C268" s="387"/>
      <c r="D268" s="387"/>
      <c r="E268" s="387"/>
      <c r="F268" s="387"/>
      <c r="G268" s="370" t="n">
        <f aca="false">SUM(G264:G267)</f>
        <v>217.974</v>
      </c>
      <c r="I268" s="0"/>
    </row>
    <row r="269" customFormat="false" ht="15.75" hidden="false" customHeight="false" outlineLevel="0" collapsed="false">
      <c r="B269" s="511" t="s">
        <v>499</v>
      </c>
      <c r="C269" s="387"/>
      <c r="D269" s="387"/>
      <c r="E269" s="387"/>
      <c r="F269" s="387"/>
      <c r="G269" s="512"/>
      <c r="I269" s="0"/>
    </row>
    <row r="270" customFormat="false" ht="15" hidden="false" customHeight="false" outlineLevel="0" collapsed="false">
      <c r="B270" s="513"/>
      <c r="C270" s="514"/>
      <c r="D270" s="389"/>
      <c r="E270" s="389"/>
      <c r="F270" s="389"/>
      <c r="G270" s="389"/>
      <c r="I270" s="0"/>
    </row>
    <row r="271" customFormat="false" ht="15" hidden="false" customHeight="false" outlineLevel="0" collapsed="false">
      <c r="B271" s="388"/>
      <c r="C271" s="470"/>
      <c r="D271" s="470"/>
      <c r="E271" s="470"/>
      <c r="F271" s="470"/>
      <c r="G271" s="470"/>
      <c r="I271" s="0"/>
    </row>
    <row r="272" customFormat="false" ht="15.75" hidden="false" customHeight="false" outlineLevel="0" collapsed="false">
      <c r="C272" s="345"/>
      <c r="D272" s="345"/>
      <c r="E272" s="345"/>
      <c r="F272" s="345"/>
      <c r="G272" s="345"/>
      <c r="I272" s="0"/>
    </row>
    <row r="273" customFormat="false" ht="32.25" hidden="false" customHeight="true" outlineLevel="0" collapsed="false">
      <c r="B273" s="515" t="s">
        <v>500</v>
      </c>
      <c r="C273" s="130" t="s">
        <v>501</v>
      </c>
      <c r="D273" s="516" t="s">
        <v>19</v>
      </c>
      <c r="E273" s="516"/>
      <c r="F273" s="516"/>
      <c r="G273" s="516"/>
      <c r="I273" s="0"/>
    </row>
    <row r="274" s="518" customFormat="true" ht="15" hidden="false" customHeight="false" outlineLevel="0" collapsed="false">
      <c r="A274" s="517"/>
      <c r="B274" s="355" t="s">
        <v>279</v>
      </c>
      <c r="C274" s="356" t="s">
        <v>280</v>
      </c>
      <c r="D274" s="357" t="s">
        <v>281</v>
      </c>
      <c r="E274" s="357" t="s">
        <v>282</v>
      </c>
      <c r="F274" s="358" t="s">
        <v>283</v>
      </c>
      <c r="G274" s="359" t="s">
        <v>284</v>
      </c>
      <c r="H274" s="0"/>
      <c r="I274" s="0"/>
      <c r="J274" s="0"/>
      <c r="K274" s="0"/>
    </row>
    <row r="275" customFormat="false" ht="15" hidden="false" customHeight="false" outlineLevel="0" collapsed="false">
      <c r="B275" s="360" t="s">
        <v>502</v>
      </c>
      <c r="C275" s="391" t="s">
        <v>503</v>
      </c>
      <c r="D275" s="362" t="s">
        <v>414</v>
      </c>
      <c r="E275" s="362" t="n">
        <v>2</v>
      </c>
      <c r="F275" s="519" t="n">
        <v>2</v>
      </c>
      <c r="G275" s="520" t="n">
        <f aca="false">E275*F275</f>
        <v>4</v>
      </c>
      <c r="I275" s="0"/>
    </row>
    <row r="276" customFormat="false" ht="15" hidden="false" customHeight="false" outlineLevel="0" collapsed="false">
      <c r="B276" s="360" t="s">
        <v>504</v>
      </c>
      <c r="C276" s="391" t="s">
        <v>505</v>
      </c>
      <c r="D276" s="362" t="s">
        <v>414</v>
      </c>
      <c r="E276" s="362" t="n">
        <v>1</v>
      </c>
      <c r="F276" s="362" t="n">
        <v>33.84</v>
      </c>
      <c r="G276" s="520" t="n">
        <f aca="false">E276*F276</f>
        <v>33.84</v>
      </c>
      <c r="I276" s="0"/>
    </row>
    <row r="277" customFormat="false" ht="15" hidden="false" customHeight="false" outlineLevel="0" collapsed="false">
      <c r="B277" s="360" t="s">
        <v>506</v>
      </c>
      <c r="C277" s="391" t="s">
        <v>507</v>
      </c>
      <c r="D277" s="362" t="s">
        <v>414</v>
      </c>
      <c r="E277" s="362" t="n">
        <v>0.092</v>
      </c>
      <c r="F277" s="362" t="n">
        <v>13.23</v>
      </c>
      <c r="G277" s="520" t="n">
        <f aca="false">E277*F277</f>
        <v>1.21716</v>
      </c>
      <c r="I277" s="0"/>
    </row>
    <row r="278" customFormat="false" ht="15" hidden="false" customHeight="false" outlineLevel="0" collapsed="false">
      <c r="B278" s="360" t="s">
        <v>508</v>
      </c>
      <c r="C278" s="391" t="s">
        <v>509</v>
      </c>
      <c r="D278" s="362" t="s">
        <v>297</v>
      </c>
      <c r="E278" s="362" t="n">
        <v>0.185</v>
      </c>
      <c r="F278" s="362" t="n">
        <v>11.29</v>
      </c>
      <c r="G278" s="520" t="n">
        <f aca="false">E278*F278</f>
        <v>2.08865</v>
      </c>
      <c r="I278" s="0"/>
    </row>
    <row r="279" customFormat="false" ht="15.75" hidden="false" customHeight="false" outlineLevel="0" collapsed="false">
      <c r="B279" s="360" t="s">
        <v>307</v>
      </c>
      <c r="C279" s="391" t="s">
        <v>308</v>
      </c>
      <c r="D279" s="362" t="s">
        <v>297</v>
      </c>
      <c r="E279" s="362" t="n">
        <v>0.185</v>
      </c>
      <c r="F279" s="362" t="n">
        <v>14.78</v>
      </c>
      <c r="G279" s="521" t="n">
        <f aca="false">E279*F279</f>
        <v>2.7343</v>
      </c>
      <c r="I279" s="0"/>
    </row>
    <row r="280" customFormat="false" ht="15.75" hidden="false" customHeight="false" outlineLevel="0" collapsed="false">
      <c r="B280" s="385"/>
      <c r="C280" s="386"/>
      <c r="D280" s="386"/>
      <c r="E280" s="386"/>
      <c r="F280" s="386"/>
      <c r="G280" s="522" t="n">
        <f aca="false">SUM(G275:G279)</f>
        <v>43.88011</v>
      </c>
      <c r="I280" s="0"/>
    </row>
    <row r="281" customFormat="false" ht="15" hidden="false" customHeight="false" outlineLevel="0" collapsed="false">
      <c r="I281" s="0"/>
    </row>
    <row r="282" customFormat="false" ht="15.75" hidden="false" customHeight="false" outlineLevel="0" collapsed="false">
      <c r="I282" s="0"/>
    </row>
    <row r="283" s="518" customFormat="true" ht="27" hidden="false" customHeight="true" outlineLevel="0" collapsed="false">
      <c r="A283" s="517"/>
      <c r="B283" s="515" t="s">
        <v>510</v>
      </c>
      <c r="C283" s="130" t="s">
        <v>511</v>
      </c>
      <c r="D283" s="516" t="s">
        <v>19</v>
      </c>
      <c r="E283" s="516"/>
      <c r="F283" s="516"/>
      <c r="G283" s="516"/>
      <c r="H283" s="0"/>
      <c r="I283" s="0"/>
      <c r="J283" s="0"/>
      <c r="K283" s="0"/>
    </row>
    <row r="284" customFormat="false" ht="15" hidden="false" customHeight="false" outlineLevel="0" collapsed="false">
      <c r="B284" s="355" t="s">
        <v>279</v>
      </c>
      <c r="C284" s="356" t="s">
        <v>280</v>
      </c>
      <c r="D284" s="357" t="s">
        <v>281</v>
      </c>
      <c r="E284" s="357" t="s">
        <v>282</v>
      </c>
      <c r="F284" s="358" t="s">
        <v>283</v>
      </c>
      <c r="G284" s="359" t="s">
        <v>284</v>
      </c>
      <c r="I284" s="0"/>
    </row>
    <row r="285" customFormat="false" ht="15" hidden="false" customHeight="false" outlineLevel="0" collapsed="false">
      <c r="B285" s="523" t="s">
        <v>502</v>
      </c>
      <c r="C285" s="391" t="s">
        <v>503</v>
      </c>
      <c r="D285" s="362" t="s">
        <v>414</v>
      </c>
      <c r="E285" s="362" t="n">
        <v>1</v>
      </c>
      <c r="F285" s="524" t="n">
        <v>2</v>
      </c>
      <c r="G285" s="520" t="n">
        <f aca="false">E285*F285</f>
        <v>2</v>
      </c>
      <c r="I285" s="0"/>
    </row>
    <row r="286" customFormat="false" ht="15" hidden="false" customHeight="false" outlineLevel="0" collapsed="false">
      <c r="B286" s="523" t="s">
        <v>512</v>
      </c>
      <c r="C286" s="391" t="s">
        <v>513</v>
      </c>
      <c r="D286" s="362" t="s">
        <v>414</v>
      </c>
      <c r="E286" s="362" t="n">
        <v>1</v>
      </c>
      <c r="F286" s="392" t="n">
        <v>13.31</v>
      </c>
      <c r="G286" s="520" t="n">
        <f aca="false">E286*F286</f>
        <v>13.31</v>
      </c>
      <c r="I286" s="0"/>
    </row>
    <row r="287" customFormat="false" ht="15" hidden="false" customHeight="false" outlineLevel="0" collapsed="false">
      <c r="B287" s="523" t="s">
        <v>506</v>
      </c>
      <c r="C287" s="391" t="s">
        <v>514</v>
      </c>
      <c r="D287" s="362" t="s">
        <v>414</v>
      </c>
      <c r="E287" s="362" t="n">
        <v>0.046</v>
      </c>
      <c r="F287" s="392" t="n">
        <v>13.23</v>
      </c>
      <c r="G287" s="520" t="n">
        <f aca="false">E287*F287</f>
        <v>0.60858</v>
      </c>
      <c r="I287" s="0"/>
    </row>
    <row r="288" customFormat="false" ht="15" hidden="false" customHeight="false" outlineLevel="0" collapsed="false">
      <c r="B288" s="523" t="s">
        <v>508</v>
      </c>
      <c r="C288" s="391" t="s">
        <v>509</v>
      </c>
      <c r="D288" s="362" t="s">
        <v>297</v>
      </c>
      <c r="E288" s="362" t="n">
        <v>0.14</v>
      </c>
      <c r="F288" s="392" t="n">
        <v>11.29</v>
      </c>
      <c r="G288" s="520" t="n">
        <f aca="false">E288*F288</f>
        <v>1.5806</v>
      </c>
      <c r="I288" s="0"/>
    </row>
    <row r="289" customFormat="false" ht="15.75" hidden="false" customHeight="false" outlineLevel="0" collapsed="false">
      <c r="B289" s="523" t="s">
        <v>307</v>
      </c>
      <c r="C289" s="391" t="s">
        <v>308</v>
      </c>
      <c r="D289" s="362" t="s">
        <v>297</v>
      </c>
      <c r="E289" s="362" t="n">
        <v>0.14</v>
      </c>
      <c r="F289" s="392" t="n">
        <v>14.78</v>
      </c>
      <c r="G289" s="520" t="n">
        <f aca="false">E289*F289</f>
        <v>2.0692</v>
      </c>
      <c r="I289" s="0"/>
    </row>
    <row r="290" customFormat="false" ht="15.75" hidden="false" customHeight="false" outlineLevel="0" collapsed="false">
      <c r="B290" s="385"/>
      <c r="C290" s="386"/>
      <c r="D290" s="386"/>
      <c r="E290" s="386"/>
      <c r="F290" s="386"/>
      <c r="G290" s="522" t="n">
        <f aca="false">SUM(G285:G289)</f>
        <v>19.56838</v>
      </c>
      <c r="I290" s="0"/>
    </row>
    <row r="291" s="526" customFormat="true" ht="15" hidden="false" customHeight="false" outlineLevel="0" collapsed="false">
      <c r="A291" s="525"/>
      <c r="B291" s="525"/>
      <c r="D291" s="527"/>
      <c r="E291" s="527"/>
      <c r="F291" s="527"/>
      <c r="G291" s="527"/>
    </row>
    <row r="292" s="526" customFormat="true" ht="15.75" hidden="false" customHeight="false" outlineLevel="0" collapsed="false">
      <c r="A292" s="525"/>
      <c r="B292" s="525"/>
      <c r="D292" s="527"/>
      <c r="E292" s="527"/>
      <c r="F292" s="527"/>
      <c r="G292" s="527"/>
    </row>
    <row r="293" customFormat="false" ht="27" hidden="false" customHeight="true" outlineLevel="0" collapsed="false">
      <c r="B293" s="515" t="s">
        <v>515</v>
      </c>
      <c r="C293" s="130" t="s">
        <v>516</v>
      </c>
      <c r="D293" s="516" t="s">
        <v>19</v>
      </c>
      <c r="E293" s="516"/>
      <c r="F293" s="516"/>
      <c r="G293" s="516"/>
      <c r="I293" s="0"/>
    </row>
    <row r="294" customFormat="false" ht="15" hidden="false" customHeight="false" outlineLevel="0" collapsed="false">
      <c r="B294" s="355" t="s">
        <v>279</v>
      </c>
      <c r="C294" s="356" t="s">
        <v>280</v>
      </c>
      <c r="D294" s="357" t="s">
        <v>281</v>
      </c>
      <c r="E294" s="357" t="s">
        <v>282</v>
      </c>
      <c r="F294" s="358" t="s">
        <v>283</v>
      </c>
      <c r="G294" s="359" t="s">
        <v>284</v>
      </c>
      <c r="I294" s="0"/>
    </row>
    <row r="295" customFormat="false" ht="15" hidden="false" customHeight="false" outlineLevel="0" collapsed="false">
      <c r="B295" s="523" t="s">
        <v>502</v>
      </c>
      <c r="C295" s="391" t="s">
        <v>503</v>
      </c>
      <c r="D295" s="362" t="s">
        <v>414</v>
      </c>
      <c r="E295" s="362" t="n">
        <v>1</v>
      </c>
      <c r="F295" s="524" t="n">
        <v>2</v>
      </c>
      <c r="G295" s="520" t="n">
        <f aca="false">E295*F295</f>
        <v>2</v>
      </c>
      <c r="I295" s="0"/>
    </row>
    <row r="296" customFormat="false" ht="15" hidden="false" customHeight="false" outlineLevel="0" collapsed="false">
      <c r="B296" s="523" t="s">
        <v>517</v>
      </c>
      <c r="C296" s="391" t="s">
        <v>518</v>
      </c>
      <c r="D296" s="362" t="s">
        <v>414</v>
      </c>
      <c r="E296" s="362" t="n">
        <v>1</v>
      </c>
      <c r="F296" s="392" t="n">
        <v>17.96</v>
      </c>
      <c r="G296" s="520" t="n">
        <f aca="false">E296*F296</f>
        <v>17.96</v>
      </c>
      <c r="I296" s="0"/>
    </row>
    <row r="297" customFormat="false" ht="15" hidden="false" customHeight="false" outlineLevel="0" collapsed="false">
      <c r="B297" s="523" t="s">
        <v>506</v>
      </c>
      <c r="C297" s="391" t="s">
        <v>514</v>
      </c>
      <c r="D297" s="362" t="s">
        <v>414</v>
      </c>
      <c r="E297" s="362" t="n">
        <v>0.046</v>
      </c>
      <c r="F297" s="392" t="n">
        <v>13.23</v>
      </c>
      <c r="G297" s="520" t="n">
        <f aca="false">E297*F297</f>
        <v>0.60858</v>
      </c>
      <c r="I297" s="0"/>
    </row>
    <row r="298" customFormat="false" ht="15" hidden="false" customHeight="false" outlineLevel="0" collapsed="false">
      <c r="B298" s="523" t="s">
        <v>508</v>
      </c>
      <c r="C298" s="391" t="s">
        <v>509</v>
      </c>
      <c r="D298" s="362" t="s">
        <v>297</v>
      </c>
      <c r="E298" s="362" t="n">
        <v>0.14</v>
      </c>
      <c r="F298" s="392" t="n">
        <v>11.29</v>
      </c>
      <c r="G298" s="520" t="n">
        <f aca="false">E298*F298</f>
        <v>1.5806</v>
      </c>
      <c r="I298" s="0"/>
    </row>
    <row r="299" customFormat="false" ht="15.75" hidden="false" customHeight="false" outlineLevel="0" collapsed="false">
      <c r="B299" s="523" t="s">
        <v>307</v>
      </c>
      <c r="C299" s="391" t="s">
        <v>308</v>
      </c>
      <c r="D299" s="362" t="s">
        <v>297</v>
      </c>
      <c r="E299" s="362" t="n">
        <v>0.14</v>
      </c>
      <c r="F299" s="392" t="n">
        <v>14.78</v>
      </c>
      <c r="G299" s="520" t="n">
        <f aca="false">E299*F299</f>
        <v>2.0692</v>
      </c>
      <c r="I299" s="0"/>
    </row>
    <row r="300" customFormat="false" ht="15.75" hidden="false" customHeight="false" outlineLevel="0" collapsed="false">
      <c r="B300" s="385"/>
      <c r="C300" s="386"/>
      <c r="D300" s="386"/>
      <c r="E300" s="386"/>
      <c r="F300" s="386"/>
      <c r="G300" s="522" t="n">
        <f aca="false">SUM(G295:G299)</f>
        <v>24.21838</v>
      </c>
      <c r="I300" s="0"/>
    </row>
    <row r="301" customFormat="false" ht="15" hidden="false" customHeight="false" outlineLevel="0" collapsed="false">
      <c r="I301" s="0"/>
    </row>
    <row r="302" customFormat="false" ht="15.75" hidden="false" customHeight="false" outlineLevel="0" collapsed="false">
      <c r="I302" s="0"/>
    </row>
    <row r="303" customFormat="false" ht="27" hidden="false" customHeight="true" outlineLevel="0" collapsed="false">
      <c r="B303" s="515" t="s">
        <v>519</v>
      </c>
      <c r="C303" s="130" t="s">
        <v>520</v>
      </c>
      <c r="D303" s="516" t="s">
        <v>19</v>
      </c>
      <c r="E303" s="516"/>
      <c r="F303" s="516"/>
      <c r="G303" s="516"/>
      <c r="I303" s="0"/>
    </row>
    <row r="304" customFormat="false" ht="15" hidden="false" customHeight="false" outlineLevel="0" collapsed="false">
      <c r="B304" s="355" t="s">
        <v>279</v>
      </c>
      <c r="C304" s="356" t="s">
        <v>280</v>
      </c>
      <c r="D304" s="357" t="s">
        <v>281</v>
      </c>
      <c r="E304" s="357" t="s">
        <v>282</v>
      </c>
      <c r="F304" s="358" t="s">
        <v>283</v>
      </c>
      <c r="G304" s="359" t="s">
        <v>284</v>
      </c>
      <c r="I304" s="0"/>
    </row>
    <row r="305" customFormat="false" ht="15" hidden="false" customHeight="false" outlineLevel="0" collapsed="false">
      <c r="B305" s="523" t="s">
        <v>502</v>
      </c>
      <c r="C305" s="391" t="s">
        <v>503</v>
      </c>
      <c r="D305" s="362" t="s">
        <v>414</v>
      </c>
      <c r="E305" s="362" t="n">
        <v>1</v>
      </c>
      <c r="F305" s="524" t="n">
        <v>2</v>
      </c>
      <c r="G305" s="520" t="n">
        <f aca="false">E305*F305</f>
        <v>2</v>
      </c>
      <c r="I305" s="0"/>
    </row>
    <row r="306" customFormat="false" ht="15" hidden="false" customHeight="false" outlineLevel="0" collapsed="false">
      <c r="B306" s="523" t="s">
        <v>521</v>
      </c>
      <c r="C306" s="391" t="s">
        <v>522</v>
      </c>
      <c r="D306" s="362" t="s">
        <v>414</v>
      </c>
      <c r="E306" s="362" t="n">
        <v>1</v>
      </c>
      <c r="F306" s="392" t="n">
        <v>8.37</v>
      </c>
      <c r="G306" s="520" t="n">
        <f aca="false">E306*F306</f>
        <v>8.37</v>
      </c>
      <c r="I306" s="0"/>
    </row>
    <row r="307" customFormat="false" ht="15" hidden="false" customHeight="false" outlineLevel="0" collapsed="false">
      <c r="B307" s="523" t="s">
        <v>506</v>
      </c>
      <c r="C307" s="391" t="s">
        <v>514</v>
      </c>
      <c r="D307" s="362" t="s">
        <v>414</v>
      </c>
      <c r="E307" s="362" t="n">
        <v>0.046</v>
      </c>
      <c r="F307" s="392" t="n">
        <v>13.23</v>
      </c>
      <c r="G307" s="520" t="n">
        <f aca="false">E307*F307</f>
        <v>0.60858</v>
      </c>
      <c r="I307" s="0"/>
    </row>
    <row r="308" customFormat="false" ht="15" hidden="false" customHeight="false" outlineLevel="0" collapsed="false">
      <c r="B308" s="523" t="s">
        <v>508</v>
      </c>
      <c r="C308" s="391" t="s">
        <v>509</v>
      </c>
      <c r="D308" s="362" t="s">
        <v>297</v>
      </c>
      <c r="E308" s="362" t="n">
        <v>0.095</v>
      </c>
      <c r="F308" s="392" t="n">
        <v>11.29</v>
      </c>
      <c r="G308" s="520" t="n">
        <f aca="false">E308*F308</f>
        <v>1.07255</v>
      </c>
      <c r="I308" s="0"/>
    </row>
    <row r="309" customFormat="false" ht="15.75" hidden="false" customHeight="false" outlineLevel="0" collapsed="false">
      <c r="B309" s="523" t="s">
        <v>307</v>
      </c>
      <c r="C309" s="391" t="s">
        <v>308</v>
      </c>
      <c r="D309" s="362" t="s">
        <v>297</v>
      </c>
      <c r="E309" s="362" t="n">
        <v>0.095</v>
      </c>
      <c r="F309" s="392" t="n">
        <v>14.78</v>
      </c>
      <c r="G309" s="520" t="n">
        <f aca="false">E309*F309</f>
        <v>1.4041</v>
      </c>
      <c r="I309" s="0"/>
    </row>
    <row r="310" customFormat="false" ht="15.75" hidden="false" customHeight="false" outlineLevel="0" collapsed="false">
      <c r="B310" s="385"/>
      <c r="C310" s="386"/>
      <c r="D310" s="386"/>
      <c r="E310" s="386"/>
      <c r="F310" s="386"/>
      <c r="G310" s="522" t="n">
        <f aca="false">SUM(G305:G309)</f>
        <v>13.45523</v>
      </c>
      <c r="I310" s="0"/>
    </row>
    <row r="311" customFormat="false" ht="15" hidden="false" customHeight="false" outlineLevel="0" collapsed="false">
      <c r="I311" s="0"/>
    </row>
    <row r="312" customFormat="false" ht="15.75" hidden="false" customHeight="false" outlineLevel="0" collapsed="false">
      <c r="I312" s="0"/>
    </row>
    <row r="313" customFormat="false" ht="27" hidden="false" customHeight="true" outlineLevel="0" collapsed="false">
      <c r="B313" s="515" t="s">
        <v>523</v>
      </c>
      <c r="C313" s="130" t="s">
        <v>524</v>
      </c>
      <c r="D313" s="516" t="s">
        <v>19</v>
      </c>
      <c r="E313" s="516"/>
      <c r="F313" s="516"/>
      <c r="G313" s="516"/>
      <c r="I313" s="0"/>
    </row>
    <row r="314" customFormat="false" ht="15" hidden="false" customHeight="false" outlineLevel="0" collapsed="false">
      <c r="B314" s="355" t="s">
        <v>279</v>
      </c>
      <c r="C314" s="356" t="s">
        <v>280</v>
      </c>
      <c r="D314" s="357" t="s">
        <v>281</v>
      </c>
      <c r="E314" s="357" t="s">
        <v>282</v>
      </c>
      <c r="F314" s="358" t="s">
        <v>283</v>
      </c>
      <c r="G314" s="359" t="s">
        <v>284</v>
      </c>
      <c r="I314" s="0"/>
    </row>
    <row r="315" customFormat="false" ht="15" hidden="false" customHeight="false" outlineLevel="0" collapsed="false">
      <c r="B315" s="523" t="s">
        <v>525</v>
      </c>
      <c r="C315" s="391" t="s">
        <v>526</v>
      </c>
      <c r="D315" s="362" t="s">
        <v>414</v>
      </c>
      <c r="E315" s="362" t="n">
        <v>1</v>
      </c>
      <c r="F315" s="524" t="n">
        <v>8.4</v>
      </c>
      <c r="G315" s="520" t="n">
        <f aca="false">E315*F315</f>
        <v>8.4</v>
      </c>
      <c r="I315" s="0"/>
    </row>
    <row r="316" customFormat="false" ht="15" hidden="false" customHeight="false" outlineLevel="0" collapsed="false">
      <c r="B316" s="523" t="s">
        <v>527</v>
      </c>
      <c r="C316" s="391" t="s">
        <v>528</v>
      </c>
      <c r="D316" s="362" t="s">
        <v>414</v>
      </c>
      <c r="E316" s="362" t="n">
        <v>1</v>
      </c>
      <c r="F316" s="392" t="n">
        <v>28.99</v>
      </c>
      <c r="G316" s="520" t="n">
        <f aca="false">E316*F316</f>
        <v>28.99</v>
      </c>
      <c r="I316" s="0"/>
    </row>
    <row r="317" customFormat="false" ht="15" hidden="false" customHeight="false" outlineLevel="0" collapsed="false">
      <c r="B317" s="523" t="s">
        <v>506</v>
      </c>
      <c r="C317" s="391" t="s">
        <v>514</v>
      </c>
      <c r="D317" s="362" t="s">
        <v>414</v>
      </c>
      <c r="E317" s="362" t="n">
        <v>0.07</v>
      </c>
      <c r="F317" s="392" t="n">
        <v>13.23</v>
      </c>
      <c r="G317" s="520" t="n">
        <f aca="false">E317*F317</f>
        <v>0.9261</v>
      </c>
      <c r="I317" s="0"/>
    </row>
    <row r="318" customFormat="false" ht="15" hidden="false" customHeight="false" outlineLevel="0" collapsed="false">
      <c r="B318" s="523" t="s">
        <v>508</v>
      </c>
      <c r="C318" s="391" t="s">
        <v>509</v>
      </c>
      <c r="D318" s="362" t="s">
        <v>297</v>
      </c>
      <c r="E318" s="362" t="n">
        <v>0.11</v>
      </c>
      <c r="F318" s="392" t="n">
        <v>11.29</v>
      </c>
      <c r="G318" s="520" t="n">
        <f aca="false">E318*F318</f>
        <v>1.2419</v>
      </c>
      <c r="I318" s="0"/>
    </row>
    <row r="319" customFormat="false" ht="15.75" hidden="false" customHeight="false" outlineLevel="0" collapsed="false">
      <c r="B319" s="523" t="s">
        <v>307</v>
      </c>
      <c r="C319" s="391" t="s">
        <v>308</v>
      </c>
      <c r="D319" s="362" t="s">
        <v>297</v>
      </c>
      <c r="E319" s="362" t="n">
        <v>0.11</v>
      </c>
      <c r="F319" s="392" t="n">
        <v>14.78</v>
      </c>
      <c r="G319" s="520" t="n">
        <f aca="false">E319*F319</f>
        <v>1.6258</v>
      </c>
      <c r="I319" s="0"/>
    </row>
    <row r="320" customFormat="false" ht="15.75" hidden="false" customHeight="false" outlineLevel="0" collapsed="false">
      <c r="B320" s="385"/>
      <c r="C320" s="386"/>
      <c r="D320" s="386"/>
      <c r="E320" s="386"/>
      <c r="F320" s="386"/>
      <c r="G320" s="522" t="n">
        <f aca="false">SUM(G315:G319)</f>
        <v>41.1838</v>
      </c>
      <c r="I320" s="0"/>
    </row>
    <row r="321" customFormat="false" ht="15" hidden="false" customHeight="false" outlineLevel="0" collapsed="false">
      <c r="I321" s="0"/>
    </row>
    <row r="322" customFormat="false" ht="15.75" hidden="false" customHeight="false" outlineLevel="0" collapsed="false">
      <c r="I322" s="0"/>
    </row>
    <row r="323" customFormat="false" ht="27" hidden="false" customHeight="true" outlineLevel="0" collapsed="false">
      <c r="B323" s="515" t="s">
        <v>529</v>
      </c>
      <c r="C323" s="130" t="s">
        <v>530</v>
      </c>
      <c r="D323" s="516" t="s">
        <v>65</v>
      </c>
      <c r="E323" s="516"/>
      <c r="F323" s="516"/>
      <c r="G323" s="516"/>
      <c r="I323" s="0"/>
    </row>
    <row r="324" customFormat="false" ht="15" hidden="false" customHeight="false" outlineLevel="0" collapsed="false">
      <c r="B324" s="355" t="s">
        <v>279</v>
      </c>
      <c r="C324" s="356" t="s">
        <v>280</v>
      </c>
      <c r="D324" s="357" t="s">
        <v>281</v>
      </c>
      <c r="E324" s="357" t="s">
        <v>282</v>
      </c>
      <c r="F324" s="358" t="s">
        <v>283</v>
      </c>
      <c r="G324" s="359" t="s">
        <v>284</v>
      </c>
      <c r="I324" s="0"/>
    </row>
    <row r="325" customFormat="false" ht="15" hidden="false" customHeight="false" outlineLevel="0" collapsed="false">
      <c r="B325" s="360" t="s">
        <v>531</v>
      </c>
      <c r="C325" s="391" t="s">
        <v>532</v>
      </c>
      <c r="D325" s="362" t="s">
        <v>414</v>
      </c>
      <c r="E325" s="362" t="n">
        <v>0.0429</v>
      </c>
      <c r="F325" s="362" t="n">
        <v>36.13</v>
      </c>
      <c r="G325" s="520" t="n">
        <f aca="false">E325*F325</f>
        <v>1.549977</v>
      </c>
      <c r="I325" s="0"/>
    </row>
    <row r="326" customFormat="false" ht="15" hidden="false" customHeight="false" outlineLevel="0" collapsed="false">
      <c r="B326" s="360" t="s">
        <v>533</v>
      </c>
      <c r="C326" s="391" t="s">
        <v>534</v>
      </c>
      <c r="D326" s="362" t="s">
        <v>65</v>
      </c>
      <c r="E326" s="362" t="n">
        <v>1.04</v>
      </c>
      <c r="F326" s="362" t="n">
        <v>20.83</v>
      </c>
      <c r="G326" s="520" t="n">
        <f aca="false">E326*F326</f>
        <v>21.6632</v>
      </c>
      <c r="I326" s="0"/>
    </row>
    <row r="327" customFormat="false" ht="15" hidden="false" customHeight="false" outlineLevel="0" collapsed="false">
      <c r="B327" s="360" t="s">
        <v>535</v>
      </c>
      <c r="C327" s="391" t="s">
        <v>536</v>
      </c>
      <c r="D327" s="362" t="s">
        <v>414</v>
      </c>
      <c r="E327" s="362" t="n">
        <v>0.0701</v>
      </c>
      <c r="F327" s="362" t="n">
        <v>31.37</v>
      </c>
      <c r="G327" s="520" t="n">
        <f aca="false">E327*F327</f>
        <v>2.199037</v>
      </c>
      <c r="I327" s="0"/>
    </row>
    <row r="328" customFormat="false" ht="15" hidden="false" customHeight="false" outlineLevel="0" collapsed="false">
      <c r="B328" s="360" t="s">
        <v>537</v>
      </c>
      <c r="C328" s="391" t="s">
        <v>538</v>
      </c>
      <c r="D328" s="362" t="s">
        <v>414</v>
      </c>
      <c r="E328" s="362" t="n">
        <v>0.1485</v>
      </c>
      <c r="F328" s="362" t="n">
        <v>1.47</v>
      </c>
      <c r="G328" s="520" t="n">
        <f aca="false">E328*F328</f>
        <v>0.218295</v>
      </c>
      <c r="I328" s="0"/>
    </row>
    <row r="329" customFormat="false" ht="15" hidden="false" customHeight="false" outlineLevel="0" collapsed="false">
      <c r="B329" s="360" t="s">
        <v>508</v>
      </c>
      <c r="C329" s="391" t="s">
        <v>509</v>
      </c>
      <c r="D329" s="362" t="s">
        <v>297</v>
      </c>
      <c r="E329" s="362" t="n">
        <v>0.445</v>
      </c>
      <c r="F329" s="362" t="n">
        <v>11.29</v>
      </c>
      <c r="G329" s="520" t="n">
        <f aca="false">E329*F329</f>
        <v>5.02405</v>
      </c>
      <c r="I329" s="0"/>
    </row>
    <row r="330" customFormat="false" ht="15.75" hidden="false" customHeight="false" outlineLevel="0" collapsed="false">
      <c r="B330" s="360" t="s">
        <v>307</v>
      </c>
      <c r="C330" s="391" t="s">
        <v>308</v>
      </c>
      <c r="D330" s="362" t="s">
        <v>297</v>
      </c>
      <c r="E330" s="362" t="n">
        <v>0.445</v>
      </c>
      <c r="F330" s="362" t="n">
        <v>14.78</v>
      </c>
      <c r="G330" s="520" t="n">
        <f aca="false">E330*F330</f>
        <v>6.5771</v>
      </c>
      <c r="I330" s="0"/>
    </row>
    <row r="331" customFormat="false" ht="15.75" hidden="false" customHeight="false" outlineLevel="0" collapsed="false">
      <c r="B331" s="385"/>
      <c r="C331" s="386"/>
      <c r="D331" s="386"/>
      <c r="E331" s="386"/>
      <c r="F331" s="386"/>
      <c r="G331" s="522" t="n">
        <f aca="false">SUM(G325:G330)</f>
        <v>37.231659</v>
      </c>
      <c r="I331" s="0"/>
    </row>
    <row r="332" customFormat="false" ht="15" hidden="false" customHeight="false" outlineLevel="0" collapsed="false">
      <c r="I332" s="0"/>
    </row>
    <row r="333" customFormat="false" ht="15.75" hidden="false" customHeight="false" outlineLevel="0" collapsed="false">
      <c r="I333" s="0"/>
    </row>
    <row r="334" s="346" customFormat="true" ht="15.75" hidden="false" customHeight="false" outlineLevel="0" collapsed="false">
      <c r="A334" s="351"/>
      <c r="B334" s="372" t="s">
        <v>539</v>
      </c>
      <c r="C334" s="373" t="s">
        <v>540</v>
      </c>
      <c r="D334" s="431" t="s">
        <v>328</v>
      </c>
      <c r="E334" s="431"/>
      <c r="F334" s="431"/>
      <c r="G334" s="431"/>
      <c r="H334" s="0"/>
      <c r="I334" s="0"/>
      <c r="J334" s="0"/>
      <c r="K334" s="0"/>
    </row>
    <row r="335" customFormat="false" ht="15" hidden="false" customHeight="false" outlineLevel="0" collapsed="false">
      <c r="B335" s="443" t="s">
        <v>279</v>
      </c>
      <c r="C335" s="444" t="s">
        <v>280</v>
      </c>
      <c r="D335" s="445" t="s">
        <v>281</v>
      </c>
      <c r="E335" s="445" t="s">
        <v>282</v>
      </c>
      <c r="F335" s="61" t="s">
        <v>283</v>
      </c>
      <c r="G335" s="446" t="s">
        <v>284</v>
      </c>
      <c r="I335" s="0"/>
    </row>
    <row r="336" customFormat="false" ht="15" hidden="false" customHeight="false" outlineLevel="0" collapsed="false">
      <c r="B336" s="528" t="s">
        <v>81</v>
      </c>
      <c r="C336" s="91" t="s">
        <v>541</v>
      </c>
      <c r="D336" s="529" t="s">
        <v>294</v>
      </c>
      <c r="E336" s="530" t="n">
        <v>1.03</v>
      </c>
      <c r="F336" s="422" t="n">
        <v>14.52</v>
      </c>
      <c r="G336" s="447" t="n">
        <f aca="false">E336*F336</f>
        <v>14.9556</v>
      </c>
      <c r="I336" s="0"/>
    </row>
    <row r="337" customFormat="false" ht="15" hidden="false" customHeight="false" outlineLevel="0" collapsed="false">
      <c r="B337" s="531" t="s">
        <v>359</v>
      </c>
      <c r="C337" s="467" t="s">
        <v>360</v>
      </c>
      <c r="D337" s="529" t="s">
        <v>297</v>
      </c>
      <c r="E337" s="504" t="n">
        <v>0.315</v>
      </c>
      <c r="F337" s="422" t="n">
        <v>15.2</v>
      </c>
      <c r="G337" s="447" t="n">
        <f aca="false">E337*F337</f>
        <v>4.788</v>
      </c>
      <c r="I337" s="0"/>
    </row>
    <row r="338" customFormat="false" ht="15.75" hidden="false" customHeight="false" outlineLevel="0" collapsed="false">
      <c r="B338" s="531" t="s">
        <v>298</v>
      </c>
      <c r="C338" s="467" t="s">
        <v>299</v>
      </c>
      <c r="D338" s="529" t="s">
        <v>297</v>
      </c>
      <c r="E338" s="504" t="n">
        <v>0.105</v>
      </c>
      <c r="F338" s="532" t="n">
        <v>12.22</v>
      </c>
      <c r="G338" s="447" t="n">
        <f aca="false">E338*F338</f>
        <v>1.2831</v>
      </c>
      <c r="I338" s="0"/>
    </row>
    <row r="339" customFormat="false" ht="15.75" hidden="false" customHeight="false" outlineLevel="0" collapsed="false">
      <c r="B339" s="385"/>
      <c r="C339" s="386"/>
      <c r="D339" s="387"/>
      <c r="E339" s="387"/>
      <c r="F339" s="387"/>
      <c r="G339" s="370" t="n">
        <f aca="false">SUM(G336:G338)</f>
        <v>21.0267</v>
      </c>
      <c r="I339" s="0"/>
    </row>
    <row r="340" customFormat="false" ht="15.75" hidden="false" customHeight="false" outlineLevel="0" collapsed="false">
      <c r="B340" s="393" t="s">
        <v>492</v>
      </c>
      <c r="C340" s="393"/>
      <c r="D340" s="393"/>
      <c r="E340" s="393"/>
      <c r="F340" s="393"/>
      <c r="G340" s="393"/>
      <c r="I340" s="0"/>
    </row>
    <row r="341" customFormat="false" ht="15" hidden="false" customHeight="false" outlineLevel="0" collapsed="false">
      <c r="B341" s="0"/>
      <c r="D341" s="0"/>
      <c r="E341" s="0"/>
      <c r="F341" s="0"/>
      <c r="G341" s="0"/>
      <c r="I341" s="0"/>
    </row>
    <row r="342" customFormat="false" ht="15.75" hidden="false" customHeight="false" outlineLevel="0" collapsed="false">
      <c r="B342" s="351"/>
      <c r="C342" s="346"/>
      <c r="I342" s="0"/>
    </row>
    <row r="343" s="375" customFormat="true" ht="26.25" hidden="false" customHeight="true" outlineLevel="0" collapsed="false">
      <c r="A343" s="371"/>
      <c r="B343" s="372" t="s">
        <v>542</v>
      </c>
      <c r="C343" s="373" t="s">
        <v>543</v>
      </c>
      <c r="D343" s="374" t="s">
        <v>65</v>
      </c>
      <c r="E343" s="374"/>
      <c r="F343" s="374"/>
      <c r="G343" s="374"/>
      <c r="H343" s="351"/>
      <c r="I343" s="351"/>
      <c r="J343" s="351"/>
      <c r="K343" s="346"/>
      <c r="L343" s="346"/>
      <c r="M343" s="346"/>
    </row>
    <row r="344" customFormat="false" ht="15" hidden="false" customHeight="false" outlineLevel="0" collapsed="false">
      <c r="B344" s="376" t="s">
        <v>279</v>
      </c>
      <c r="C344" s="377" t="s">
        <v>280</v>
      </c>
      <c r="D344" s="378" t="s">
        <v>281</v>
      </c>
      <c r="E344" s="378" t="s">
        <v>282</v>
      </c>
      <c r="F344" s="379" t="s">
        <v>283</v>
      </c>
      <c r="G344" s="380" t="s">
        <v>284</v>
      </c>
      <c r="H344" s="351"/>
      <c r="I344" s="351"/>
      <c r="J344" s="351"/>
      <c r="K344" s="346"/>
      <c r="L344" s="346"/>
      <c r="M344" s="346"/>
    </row>
    <row r="345" customFormat="false" ht="15" hidden="false" customHeight="false" outlineLevel="0" collapsed="false">
      <c r="B345" s="376" t="s">
        <v>321</v>
      </c>
      <c r="C345" s="394" t="s">
        <v>322</v>
      </c>
      <c r="D345" s="395" t="s">
        <v>297</v>
      </c>
      <c r="E345" s="395" t="n">
        <v>0.4</v>
      </c>
      <c r="F345" s="396" t="n">
        <v>12.11</v>
      </c>
      <c r="G345" s="384" t="n">
        <f aca="false">E345*F345</f>
        <v>4.844</v>
      </c>
      <c r="H345" s="351"/>
      <c r="I345" s="351"/>
      <c r="J345" s="351"/>
      <c r="K345" s="346"/>
      <c r="L345" s="346"/>
      <c r="M345" s="346"/>
    </row>
    <row r="346" customFormat="false" ht="15" hidden="false" customHeight="false" outlineLevel="0" collapsed="false">
      <c r="B346" s="381" t="s">
        <v>323</v>
      </c>
      <c r="C346" s="382" t="s">
        <v>324</v>
      </c>
      <c r="D346" s="383" t="s">
        <v>297</v>
      </c>
      <c r="E346" s="365" t="n">
        <v>0.4</v>
      </c>
      <c r="F346" s="365" t="n">
        <v>15.12</v>
      </c>
      <c r="G346" s="384" t="n">
        <f aca="false">E346*F346</f>
        <v>6.048</v>
      </c>
      <c r="H346" s="351"/>
      <c r="I346" s="351"/>
      <c r="J346" s="351"/>
    </row>
    <row r="347" customFormat="false" ht="27" hidden="false" customHeight="false" outlineLevel="0" collapsed="false">
      <c r="B347" s="483" t="s">
        <v>544</v>
      </c>
      <c r="C347" s="503" t="s">
        <v>545</v>
      </c>
      <c r="D347" s="383" t="s">
        <v>194</v>
      </c>
      <c r="E347" s="365" t="n">
        <v>2</v>
      </c>
      <c r="F347" s="365" t="n">
        <v>0.41</v>
      </c>
      <c r="G347" s="384" t="n">
        <f aca="false">E347*F347</f>
        <v>0.82</v>
      </c>
      <c r="H347" s="351"/>
      <c r="I347" s="351"/>
      <c r="J347" s="351"/>
    </row>
    <row r="348" customFormat="false" ht="15.75" hidden="false" customHeight="false" outlineLevel="0" collapsed="false">
      <c r="B348" s="385"/>
      <c r="C348" s="386"/>
      <c r="D348" s="387"/>
      <c r="E348" s="387"/>
      <c r="F348" s="387"/>
      <c r="G348" s="370" t="n">
        <f aca="false">SUM(G345:G347)</f>
        <v>11.712</v>
      </c>
      <c r="H348" s="351"/>
      <c r="I348" s="351"/>
      <c r="J348" s="351"/>
    </row>
    <row r="349" customFormat="false" ht="15.75" hidden="false" customHeight="false" outlineLevel="0" collapsed="false">
      <c r="B349" s="393" t="s">
        <v>546</v>
      </c>
      <c r="C349" s="393"/>
      <c r="D349" s="393"/>
      <c r="E349" s="393"/>
      <c r="F349" s="393"/>
      <c r="G349" s="393"/>
      <c r="I349" s="0"/>
    </row>
    <row r="350" customFormat="false" ht="15" hidden="false" customHeight="false" outlineLevel="0" collapsed="false">
      <c r="B350" s="388"/>
      <c r="C350" s="158"/>
      <c r="D350" s="389"/>
      <c r="E350" s="389"/>
      <c r="F350" s="389"/>
      <c r="G350" s="390"/>
      <c r="H350" s="351"/>
      <c r="I350" s="351"/>
      <c r="J350" s="351"/>
    </row>
    <row r="351" customFormat="false" ht="15.75" hidden="false" customHeight="false" outlineLevel="0" collapsed="false">
      <c r="H351" s="351"/>
      <c r="I351" s="351"/>
      <c r="J351" s="351"/>
    </row>
    <row r="352" s="346" customFormat="true" ht="28.5" hidden="false" customHeight="true" outlineLevel="0" collapsed="false">
      <c r="A352" s="351"/>
      <c r="B352" s="429" t="s">
        <v>547</v>
      </c>
      <c r="C352" s="501" t="s">
        <v>548</v>
      </c>
      <c r="D352" s="431" t="s">
        <v>337</v>
      </c>
      <c r="E352" s="431"/>
      <c r="F352" s="431"/>
      <c r="G352" s="431"/>
      <c r="H352" s="0"/>
      <c r="I352" s="0"/>
      <c r="J352" s="0"/>
      <c r="K352" s="0"/>
    </row>
    <row r="353" customFormat="false" ht="15" hidden="false" customHeight="false" outlineLevel="0" collapsed="false">
      <c r="B353" s="443" t="s">
        <v>279</v>
      </c>
      <c r="C353" s="444" t="s">
        <v>280</v>
      </c>
      <c r="D353" s="445" t="s">
        <v>281</v>
      </c>
      <c r="E353" s="445" t="s">
        <v>282</v>
      </c>
      <c r="F353" s="61" t="s">
        <v>283</v>
      </c>
      <c r="G353" s="446" t="s">
        <v>284</v>
      </c>
      <c r="I353" s="0"/>
    </row>
    <row r="354" customFormat="false" ht="15.75" hidden="false" customHeight="false" outlineLevel="0" collapsed="false">
      <c r="B354" s="487" t="s">
        <v>298</v>
      </c>
      <c r="C354" s="488" t="s">
        <v>299</v>
      </c>
      <c r="D354" s="383" t="s">
        <v>297</v>
      </c>
      <c r="E354" s="399" t="n">
        <v>1</v>
      </c>
      <c r="F354" s="365" t="n">
        <v>12.22</v>
      </c>
      <c r="G354" s="447" t="n">
        <f aca="false">E354*F354</f>
        <v>12.22</v>
      </c>
      <c r="I354" s="0"/>
    </row>
    <row r="355" customFormat="false" ht="15.75" hidden="false" customHeight="false" outlineLevel="0" collapsed="false">
      <c r="B355" s="496"/>
      <c r="C355" s="387"/>
      <c r="D355" s="387"/>
      <c r="E355" s="387"/>
      <c r="F355" s="387"/>
      <c r="G355" s="370" t="n">
        <f aca="false">SUM(G354:G354)</f>
        <v>12.22</v>
      </c>
      <c r="I355" s="0"/>
    </row>
    <row r="356" customFormat="false" ht="15.75" hidden="false" customHeight="false" outlineLevel="0" collapsed="false">
      <c r="B356" s="393" t="s">
        <v>549</v>
      </c>
      <c r="C356" s="393"/>
      <c r="D356" s="393"/>
      <c r="E356" s="393"/>
      <c r="F356" s="393"/>
      <c r="G356" s="393"/>
      <c r="I356" s="0"/>
    </row>
    <row r="357" customFormat="false" ht="15" hidden="false" customHeight="false" outlineLevel="0" collapsed="false">
      <c r="I357" s="0"/>
    </row>
    <row r="358" customFormat="false" ht="15.75" hidden="false" customHeight="false" outlineLevel="0" collapsed="false">
      <c r="I358" s="0"/>
    </row>
    <row r="359" s="346" customFormat="true" ht="28.5" hidden="false" customHeight="true" outlineLevel="0" collapsed="false">
      <c r="A359" s="351"/>
      <c r="B359" s="429" t="s">
        <v>550</v>
      </c>
      <c r="C359" s="501" t="s">
        <v>551</v>
      </c>
      <c r="D359" s="431" t="s">
        <v>73</v>
      </c>
      <c r="E359" s="431"/>
      <c r="F359" s="431"/>
      <c r="G359" s="431"/>
      <c r="H359" s="0"/>
      <c r="I359" s="0"/>
      <c r="J359" s="0"/>
      <c r="K359" s="0"/>
    </row>
    <row r="360" customFormat="false" ht="15" hidden="false" customHeight="false" outlineLevel="0" collapsed="false">
      <c r="B360" s="443" t="s">
        <v>279</v>
      </c>
      <c r="C360" s="444" t="s">
        <v>280</v>
      </c>
      <c r="D360" s="445" t="s">
        <v>281</v>
      </c>
      <c r="E360" s="445" t="s">
        <v>282</v>
      </c>
      <c r="F360" s="61" t="s">
        <v>283</v>
      </c>
      <c r="G360" s="446" t="s">
        <v>284</v>
      </c>
      <c r="I360" s="0"/>
    </row>
    <row r="361" customFormat="false" ht="15.75" hidden="false" customHeight="false" outlineLevel="0" collapsed="false">
      <c r="B361" s="487" t="s">
        <v>298</v>
      </c>
      <c r="C361" s="488" t="s">
        <v>299</v>
      </c>
      <c r="D361" s="383" t="s">
        <v>297</v>
      </c>
      <c r="E361" s="399" t="n">
        <v>0.0373</v>
      </c>
      <c r="F361" s="365" t="n">
        <v>12.22</v>
      </c>
      <c r="G361" s="447" t="n">
        <f aca="false">E361*F361</f>
        <v>0.455806</v>
      </c>
      <c r="I361" s="0"/>
    </row>
    <row r="362" customFormat="false" ht="15.75" hidden="false" customHeight="false" outlineLevel="0" collapsed="false">
      <c r="B362" s="496"/>
      <c r="C362" s="387"/>
      <c r="D362" s="387"/>
      <c r="E362" s="387"/>
      <c r="F362" s="387"/>
      <c r="G362" s="370" t="n">
        <f aca="false">SUM(G361:G361)</f>
        <v>0.455806</v>
      </c>
      <c r="I362" s="0"/>
    </row>
    <row r="363" customFormat="false" ht="15" hidden="false" customHeight="false" outlineLevel="0" collapsed="false">
      <c r="I363" s="0"/>
    </row>
    <row r="364" customFormat="false" ht="15.75" hidden="false" customHeight="false" outlineLevel="0" collapsed="false">
      <c r="I364" s="0"/>
    </row>
    <row r="365" customFormat="false" ht="25.5" hidden="false" customHeight="true" outlineLevel="0" collapsed="false">
      <c r="B365" s="429" t="s">
        <v>552</v>
      </c>
      <c r="C365" s="501" t="s">
        <v>553</v>
      </c>
      <c r="D365" s="431" t="s">
        <v>328</v>
      </c>
      <c r="E365" s="431"/>
      <c r="F365" s="431"/>
      <c r="G365" s="431"/>
      <c r="I365" s="0"/>
    </row>
    <row r="366" customFormat="false" ht="15" hidden="false" customHeight="false" outlineLevel="0" collapsed="false">
      <c r="B366" s="443" t="s">
        <v>279</v>
      </c>
      <c r="C366" s="444" t="s">
        <v>280</v>
      </c>
      <c r="D366" s="445" t="s">
        <v>281</v>
      </c>
      <c r="E366" s="445" t="s">
        <v>282</v>
      </c>
      <c r="F366" s="61" t="s">
        <v>283</v>
      </c>
      <c r="G366" s="446" t="s">
        <v>284</v>
      </c>
      <c r="I366" s="0"/>
    </row>
    <row r="367" customFormat="false" ht="15" hidden="false" customHeight="false" outlineLevel="0" collapsed="false">
      <c r="B367" s="360" t="s">
        <v>554</v>
      </c>
      <c r="C367" s="361" t="s">
        <v>555</v>
      </c>
      <c r="D367" s="397" t="s">
        <v>318</v>
      </c>
      <c r="E367" s="365" t="n">
        <v>0.05</v>
      </c>
      <c r="F367" s="365" t="n">
        <v>7.73</v>
      </c>
      <c r="G367" s="447" t="n">
        <f aca="false">E367*F367</f>
        <v>0.3865</v>
      </c>
      <c r="I367" s="0"/>
    </row>
    <row r="368" customFormat="false" ht="15" hidden="false" customHeight="false" outlineLevel="0" collapsed="false">
      <c r="B368" s="533" t="s">
        <v>556</v>
      </c>
      <c r="C368" s="534" t="s">
        <v>557</v>
      </c>
      <c r="D368" s="535" t="s">
        <v>294</v>
      </c>
      <c r="E368" s="415" t="n">
        <v>0.005</v>
      </c>
      <c r="F368" s="415" t="n">
        <v>7.07</v>
      </c>
      <c r="G368" s="447" t="n">
        <f aca="false">E368*F368</f>
        <v>0.03535</v>
      </c>
      <c r="I368" s="0"/>
    </row>
    <row r="369" customFormat="false" ht="15.75" hidden="false" customHeight="false" outlineLevel="0" collapsed="false">
      <c r="B369" s="536" t="s">
        <v>298</v>
      </c>
      <c r="C369" s="537" t="s">
        <v>299</v>
      </c>
      <c r="D369" s="397" t="s">
        <v>297</v>
      </c>
      <c r="E369" s="365" t="n">
        <v>0.1</v>
      </c>
      <c r="F369" s="365" t="n">
        <v>12.22</v>
      </c>
      <c r="G369" s="447" t="n">
        <f aca="false">E369*F369</f>
        <v>1.222</v>
      </c>
      <c r="I369" s="0"/>
    </row>
    <row r="370" customFormat="false" ht="15.75" hidden="false" customHeight="false" outlineLevel="0" collapsed="false">
      <c r="B370" s="496"/>
      <c r="C370" s="387"/>
      <c r="D370" s="387"/>
      <c r="E370" s="387"/>
      <c r="F370" s="387"/>
      <c r="G370" s="370" t="n">
        <f aca="false">SUM(G367:G369)</f>
        <v>1.64385</v>
      </c>
      <c r="I370" s="0"/>
    </row>
    <row r="371" customFormat="false" ht="15.75" hidden="false" customHeight="false" outlineLevel="0" collapsed="false">
      <c r="B371" s="393" t="s">
        <v>558</v>
      </c>
      <c r="C371" s="393"/>
      <c r="D371" s="393"/>
      <c r="E371" s="393"/>
      <c r="F371" s="393"/>
      <c r="G371" s="393"/>
      <c r="I371" s="0"/>
    </row>
    <row r="372" customFormat="false" ht="15" hidden="false" customHeight="false" outlineLevel="0" collapsed="false">
      <c r="I372" s="0"/>
    </row>
    <row r="373" customFormat="false" ht="15.75" hidden="false" customHeight="false" outlineLevel="0" collapsed="false">
      <c r="I373" s="0"/>
    </row>
    <row r="374" customFormat="false" ht="25.5" hidden="false" customHeight="true" outlineLevel="0" collapsed="false">
      <c r="B374" s="429" t="s">
        <v>559</v>
      </c>
      <c r="C374" s="501" t="s">
        <v>560</v>
      </c>
      <c r="D374" s="431" t="s">
        <v>19</v>
      </c>
      <c r="E374" s="431"/>
      <c r="F374" s="431"/>
      <c r="G374" s="431"/>
      <c r="I374" s="0"/>
    </row>
    <row r="375" customFormat="false" ht="15" hidden="false" customHeight="false" outlineLevel="0" collapsed="false">
      <c r="B375" s="443" t="s">
        <v>279</v>
      </c>
      <c r="C375" s="444" t="s">
        <v>280</v>
      </c>
      <c r="D375" s="445" t="s">
        <v>281</v>
      </c>
      <c r="E375" s="445" t="s">
        <v>282</v>
      </c>
      <c r="F375" s="61" t="s">
        <v>283</v>
      </c>
      <c r="G375" s="446" t="s">
        <v>284</v>
      </c>
      <c r="I375" s="0"/>
    </row>
    <row r="376" customFormat="false" ht="15" hidden="false" customHeight="false" outlineLevel="0" collapsed="false">
      <c r="B376" s="360" t="s">
        <v>561</v>
      </c>
      <c r="C376" s="361" t="s">
        <v>562</v>
      </c>
      <c r="D376" s="397" t="s">
        <v>297</v>
      </c>
      <c r="E376" s="532" t="n">
        <f aca="false">6*32</f>
        <v>192</v>
      </c>
      <c r="F376" s="365" t="n">
        <v>114.39</v>
      </c>
      <c r="G376" s="447" t="n">
        <f aca="false">E376*F376</f>
        <v>21962.88</v>
      </c>
      <c r="I376" s="0"/>
    </row>
    <row r="377" customFormat="false" ht="15.75" hidden="false" customHeight="false" outlineLevel="0" collapsed="false">
      <c r="B377" s="360" t="s">
        <v>563</v>
      </c>
      <c r="C377" s="361" t="s">
        <v>564</v>
      </c>
      <c r="D377" s="397" t="s">
        <v>565</v>
      </c>
      <c r="E377" s="532" t="n">
        <v>6</v>
      </c>
      <c r="F377" s="365" t="n">
        <v>2498.26</v>
      </c>
      <c r="G377" s="447" t="n">
        <f aca="false">E377*F377</f>
        <v>14989.56</v>
      </c>
      <c r="I377" s="0"/>
    </row>
    <row r="378" customFormat="false" ht="15.75" hidden="false" customHeight="false" outlineLevel="0" collapsed="false">
      <c r="B378" s="496"/>
      <c r="C378" s="387"/>
      <c r="D378" s="387"/>
      <c r="E378" s="387"/>
      <c r="F378" s="387"/>
      <c r="G378" s="370" t="n">
        <f aca="false">SUM(G376:G377)</f>
        <v>36952.44</v>
      </c>
      <c r="I378" s="0"/>
    </row>
    <row r="379" customFormat="false" ht="15.75" hidden="false" customHeight="false" outlineLevel="0" collapsed="false">
      <c r="B379" s="393" t="s">
        <v>566</v>
      </c>
      <c r="C379" s="393"/>
      <c r="D379" s="393"/>
      <c r="E379" s="393"/>
      <c r="F379" s="393"/>
      <c r="G379" s="393"/>
      <c r="I379" s="0"/>
    </row>
    <row r="380" customFormat="false" ht="15" hidden="false" customHeight="false" outlineLevel="0" collapsed="false">
      <c r="A380" s="346"/>
      <c r="B380" s="346"/>
      <c r="C380" s="346"/>
      <c r="I380" s="0"/>
    </row>
    <row r="381" customFormat="false" ht="15.75" hidden="false" customHeight="false" outlineLevel="0" collapsed="false">
      <c r="I381" s="0"/>
    </row>
    <row r="382" customFormat="false" ht="15.75" hidden="false" customHeight="false" outlineLevel="0" collapsed="false">
      <c r="B382" s="372" t="s">
        <v>567</v>
      </c>
      <c r="C382" s="373" t="s">
        <v>568</v>
      </c>
      <c r="D382" s="431" t="s">
        <v>328</v>
      </c>
      <c r="E382" s="431"/>
      <c r="F382" s="431"/>
      <c r="G382" s="431"/>
      <c r="I382" s="0"/>
    </row>
    <row r="383" customFormat="false" ht="15" hidden="false" customHeight="false" outlineLevel="0" collapsed="false">
      <c r="B383" s="443" t="s">
        <v>279</v>
      </c>
      <c r="C383" s="444" t="s">
        <v>280</v>
      </c>
      <c r="D383" s="445" t="s">
        <v>281</v>
      </c>
      <c r="E383" s="445" t="s">
        <v>282</v>
      </c>
      <c r="F383" s="61" t="s">
        <v>283</v>
      </c>
      <c r="G383" s="446" t="s">
        <v>284</v>
      </c>
      <c r="I383" s="0"/>
    </row>
    <row r="384" customFormat="false" ht="15" hidden="false" customHeight="false" outlineLevel="0" collapsed="false">
      <c r="B384" s="528" t="s">
        <v>569</v>
      </c>
      <c r="C384" s="91" t="s">
        <v>570</v>
      </c>
      <c r="D384" s="529" t="s">
        <v>328</v>
      </c>
      <c r="E384" s="538" t="n">
        <v>1.17</v>
      </c>
      <c r="F384" s="422" t="n">
        <v>3</v>
      </c>
      <c r="G384" s="447" t="n">
        <f aca="false">E384*F384</f>
        <v>3.51</v>
      </c>
      <c r="I384" s="0"/>
    </row>
    <row r="385" customFormat="false" ht="15" hidden="false" customHeight="false" outlineLevel="0" collapsed="false">
      <c r="B385" s="381" t="s">
        <v>452</v>
      </c>
      <c r="C385" s="458" t="s">
        <v>453</v>
      </c>
      <c r="D385" s="491" t="s">
        <v>294</v>
      </c>
      <c r="E385" s="539" t="n">
        <f aca="false">0.8945*1/221</f>
        <v>0.00404751131221719</v>
      </c>
      <c r="F385" s="540" t="n">
        <v>12.5</v>
      </c>
      <c r="G385" s="492" t="n">
        <f aca="false">E385*F385</f>
        <v>0.0505938914027149</v>
      </c>
      <c r="I385" s="0"/>
    </row>
    <row r="386" customFormat="false" ht="15" hidden="false" customHeight="false" outlineLevel="0" collapsed="false">
      <c r="B386" s="360" t="s">
        <v>295</v>
      </c>
      <c r="C386" s="361" t="s">
        <v>296</v>
      </c>
      <c r="D386" s="362" t="s">
        <v>297</v>
      </c>
      <c r="E386" s="541" t="n">
        <v>0.0734</v>
      </c>
      <c r="F386" s="422" t="n">
        <v>15.08</v>
      </c>
      <c r="G386" s="363" t="n">
        <f aca="false">E386*F386</f>
        <v>1.106872</v>
      </c>
      <c r="I386" s="0"/>
    </row>
    <row r="387" customFormat="false" ht="15.75" hidden="false" customHeight="false" outlineLevel="0" collapsed="false">
      <c r="B387" s="531" t="s">
        <v>298</v>
      </c>
      <c r="C387" s="467" t="s">
        <v>299</v>
      </c>
      <c r="D387" s="529" t="s">
        <v>297</v>
      </c>
      <c r="E387" s="541" t="n">
        <v>0.0699</v>
      </c>
      <c r="F387" s="532" t="n">
        <v>12.22</v>
      </c>
      <c r="G387" s="447" t="n">
        <f aca="false">E387*F387</f>
        <v>0.854178</v>
      </c>
      <c r="I387" s="0"/>
    </row>
    <row r="388" customFormat="false" ht="15.75" hidden="false" customHeight="false" outlineLevel="0" collapsed="false">
      <c r="B388" s="385"/>
      <c r="C388" s="386"/>
      <c r="D388" s="387"/>
      <c r="E388" s="387"/>
      <c r="F388" s="387"/>
      <c r="G388" s="370" t="n">
        <f aca="false">SUM(G384:G387)</f>
        <v>5.52164389140272</v>
      </c>
      <c r="I388" s="0"/>
    </row>
    <row r="389" customFormat="false" ht="15.75" hidden="false" customHeight="false" outlineLevel="0" collapsed="false">
      <c r="B389" s="393" t="s">
        <v>571</v>
      </c>
      <c r="C389" s="393"/>
      <c r="D389" s="393"/>
      <c r="E389" s="393"/>
      <c r="F389" s="393"/>
      <c r="G389" s="393"/>
      <c r="I389" s="0"/>
    </row>
    <row r="390" customFormat="false" ht="15" hidden="false" customHeight="false" outlineLevel="0" collapsed="false">
      <c r="I390" s="0"/>
    </row>
    <row r="391" customFormat="false" ht="15.75" hidden="false" customHeight="false" outlineLevel="0" collapsed="false">
      <c r="I391" s="0"/>
    </row>
    <row r="392" customFormat="false" ht="15.75" hidden="false" customHeight="false" outlineLevel="0" collapsed="false">
      <c r="B392" s="372" t="s">
        <v>572</v>
      </c>
      <c r="C392" s="373" t="s">
        <v>573</v>
      </c>
      <c r="D392" s="431" t="s">
        <v>328</v>
      </c>
      <c r="E392" s="431"/>
      <c r="F392" s="431"/>
      <c r="G392" s="431"/>
      <c r="I392" s="0"/>
    </row>
    <row r="393" customFormat="false" ht="15" hidden="false" customHeight="false" outlineLevel="0" collapsed="false">
      <c r="B393" s="443" t="s">
        <v>279</v>
      </c>
      <c r="C393" s="444" t="s">
        <v>280</v>
      </c>
      <c r="D393" s="445" t="s">
        <v>281</v>
      </c>
      <c r="E393" s="445" t="s">
        <v>282</v>
      </c>
      <c r="F393" s="61" t="s">
        <v>283</v>
      </c>
      <c r="G393" s="446" t="s">
        <v>284</v>
      </c>
      <c r="I393" s="0"/>
    </row>
    <row r="394" customFormat="false" ht="15" hidden="false" customHeight="false" outlineLevel="0" collapsed="false">
      <c r="B394" s="528" t="s">
        <v>574</v>
      </c>
      <c r="C394" s="91" t="s">
        <v>575</v>
      </c>
      <c r="D394" s="529" t="s">
        <v>328</v>
      </c>
      <c r="E394" s="538" t="n">
        <v>1.4</v>
      </c>
      <c r="F394" s="422" t="n">
        <v>1.25</v>
      </c>
      <c r="G394" s="447" t="n">
        <f aca="false">E394*F394</f>
        <v>1.75</v>
      </c>
      <c r="I394" s="0"/>
    </row>
    <row r="395" customFormat="false" ht="15.75" hidden="false" customHeight="false" outlineLevel="0" collapsed="false">
      <c r="B395" s="531" t="s">
        <v>298</v>
      </c>
      <c r="C395" s="467" t="s">
        <v>299</v>
      </c>
      <c r="D395" s="529" t="s">
        <v>297</v>
      </c>
      <c r="E395" s="542" t="n">
        <v>0.2</v>
      </c>
      <c r="F395" s="532" t="n">
        <v>12.22</v>
      </c>
      <c r="G395" s="447" t="n">
        <f aca="false">E395*F395</f>
        <v>2.444</v>
      </c>
      <c r="I395" s="0"/>
    </row>
    <row r="396" customFormat="false" ht="15.75" hidden="false" customHeight="false" outlineLevel="0" collapsed="false">
      <c r="B396" s="385"/>
      <c r="C396" s="386"/>
      <c r="D396" s="387"/>
      <c r="E396" s="387"/>
      <c r="F396" s="387"/>
      <c r="G396" s="370" t="n">
        <f aca="false">SUM(G394:G395)</f>
        <v>4.194</v>
      </c>
      <c r="I396" s="0"/>
    </row>
    <row r="397" customFormat="false" ht="15.75" hidden="false" customHeight="false" outlineLevel="0" collapsed="false">
      <c r="B397" s="393" t="s">
        <v>576</v>
      </c>
      <c r="C397" s="393"/>
      <c r="D397" s="393"/>
      <c r="E397" s="393"/>
      <c r="F397" s="393"/>
      <c r="G397" s="393"/>
      <c r="I397" s="0"/>
    </row>
    <row r="398" customFormat="false" ht="15" hidden="false" customHeight="false" outlineLevel="0" collapsed="false">
      <c r="I398" s="0"/>
    </row>
    <row r="399" customFormat="false" ht="15.75" hidden="false" customHeight="false" outlineLevel="0" collapsed="false">
      <c r="I399" s="0"/>
    </row>
    <row r="400" customFormat="false" ht="15.75" hidden="false" customHeight="false" outlineLevel="0" collapsed="false">
      <c r="B400" s="372" t="s">
        <v>577</v>
      </c>
      <c r="C400" s="373" t="s">
        <v>578</v>
      </c>
      <c r="D400" s="431" t="s">
        <v>328</v>
      </c>
      <c r="E400" s="431"/>
      <c r="F400" s="431"/>
      <c r="G400" s="431"/>
      <c r="I400" s="0"/>
    </row>
    <row r="401" customFormat="false" ht="15" hidden="false" customHeight="false" outlineLevel="0" collapsed="false">
      <c r="B401" s="443" t="s">
        <v>279</v>
      </c>
      <c r="C401" s="444" t="s">
        <v>280</v>
      </c>
      <c r="D401" s="445" t="s">
        <v>281</v>
      </c>
      <c r="E401" s="445" t="s">
        <v>282</v>
      </c>
      <c r="F401" s="61" t="s">
        <v>283</v>
      </c>
      <c r="G401" s="446" t="s">
        <v>284</v>
      </c>
      <c r="I401" s="0"/>
    </row>
    <row r="402" customFormat="false" ht="15" hidden="false" customHeight="false" outlineLevel="0" collapsed="false">
      <c r="B402" s="528" t="s">
        <v>569</v>
      </c>
      <c r="C402" s="91" t="s">
        <v>579</v>
      </c>
      <c r="D402" s="529" t="s">
        <v>328</v>
      </c>
      <c r="E402" s="538" t="n">
        <v>1.1</v>
      </c>
      <c r="F402" s="422" t="n">
        <v>3</v>
      </c>
      <c r="G402" s="447" t="n">
        <f aca="false">E402*F402</f>
        <v>3.3</v>
      </c>
      <c r="I402" s="0"/>
    </row>
    <row r="403" customFormat="false" ht="15" hidden="false" customHeight="false" outlineLevel="0" collapsed="false">
      <c r="B403" s="360" t="s">
        <v>287</v>
      </c>
      <c r="C403" s="361" t="s">
        <v>288</v>
      </c>
      <c r="D403" s="362" t="s">
        <v>65</v>
      </c>
      <c r="E403" s="361" t="n">
        <v>0.06</v>
      </c>
      <c r="F403" s="361" t="n">
        <v>5.91</v>
      </c>
      <c r="G403" s="363" t="n">
        <f aca="false">E403*F403</f>
        <v>0.3546</v>
      </c>
      <c r="I403" s="0"/>
    </row>
    <row r="404" customFormat="false" ht="15" hidden="false" customHeight="false" outlineLevel="0" collapsed="false">
      <c r="B404" s="360" t="s">
        <v>285</v>
      </c>
      <c r="C404" s="361" t="s">
        <v>286</v>
      </c>
      <c r="D404" s="362" t="s">
        <v>65</v>
      </c>
      <c r="E404" s="361" t="n">
        <v>0.2</v>
      </c>
      <c r="F404" s="361" t="n">
        <v>4.21</v>
      </c>
      <c r="G404" s="363" t="n">
        <f aca="false">E404*F404</f>
        <v>0.842</v>
      </c>
      <c r="I404" s="0"/>
    </row>
    <row r="405" customFormat="false" ht="15" hidden="false" customHeight="false" outlineLevel="0" collapsed="false">
      <c r="B405" s="381" t="s">
        <v>452</v>
      </c>
      <c r="C405" s="458" t="s">
        <v>453</v>
      </c>
      <c r="D405" s="491" t="s">
        <v>294</v>
      </c>
      <c r="E405" s="491" t="n">
        <v>0.01</v>
      </c>
      <c r="F405" s="540" t="n">
        <v>12.5</v>
      </c>
      <c r="G405" s="492" t="n">
        <f aca="false">E405*F405</f>
        <v>0.125</v>
      </c>
      <c r="I405" s="0"/>
    </row>
    <row r="406" customFormat="false" ht="15" hidden="false" customHeight="false" outlineLevel="0" collapsed="false">
      <c r="B406" s="360" t="s">
        <v>295</v>
      </c>
      <c r="C406" s="361" t="s">
        <v>296</v>
      </c>
      <c r="D406" s="362" t="s">
        <v>297</v>
      </c>
      <c r="E406" s="541" t="n">
        <v>0.53</v>
      </c>
      <c r="F406" s="422" t="n">
        <v>15.08</v>
      </c>
      <c r="G406" s="363" t="n">
        <f aca="false">E406*F406</f>
        <v>7.9924</v>
      </c>
      <c r="I406" s="0"/>
    </row>
    <row r="407" customFormat="false" ht="15.75" hidden="false" customHeight="false" outlineLevel="0" collapsed="false">
      <c r="B407" s="531" t="s">
        <v>298</v>
      </c>
      <c r="C407" s="467" t="s">
        <v>299</v>
      </c>
      <c r="D407" s="529" t="s">
        <v>297</v>
      </c>
      <c r="E407" s="542" t="n">
        <v>0.44</v>
      </c>
      <c r="F407" s="532" t="n">
        <v>12.22</v>
      </c>
      <c r="G407" s="447" t="n">
        <f aca="false">E407*F407</f>
        <v>5.3768</v>
      </c>
      <c r="I407" s="0"/>
    </row>
    <row r="408" customFormat="false" ht="15.75" hidden="false" customHeight="false" outlineLevel="0" collapsed="false">
      <c r="B408" s="385"/>
      <c r="C408" s="386"/>
      <c r="D408" s="387"/>
      <c r="E408" s="387"/>
      <c r="F408" s="387"/>
      <c r="G408" s="370" t="n">
        <f aca="false">SUM(G402:G407)</f>
        <v>17.9908</v>
      </c>
      <c r="I408" s="0"/>
    </row>
    <row r="409" customFormat="false" ht="15.75" hidden="false" customHeight="false" outlineLevel="0" collapsed="false">
      <c r="B409" s="393" t="s">
        <v>580</v>
      </c>
      <c r="C409" s="393"/>
      <c r="D409" s="393"/>
      <c r="E409" s="393"/>
      <c r="F409" s="393"/>
      <c r="G409" s="393"/>
      <c r="I409" s="0"/>
    </row>
    <row r="410" customFormat="false" ht="15" hidden="false" customHeight="false" outlineLevel="0" collapsed="false">
      <c r="I410" s="0"/>
    </row>
    <row r="411" customFormat="false" ht="15.75" hidden="false" customHeight="false" outlineLevel="0" collapsed="false">
      <c r="I411" s="0"/>
    </row>
    <row r="412" customFormat="false" ht="15.75" hidden="false" customHeight="false" outlineLevel="0" collapsed="false">
      <c r="B412" s="372" t="s">
        <v>581</v>
      </c>
      <c r="C412" s="373" t="s">
        <v>582</v>
      </c>
      <c r="D412" s="431" t="s">
        <v>318</v>
      </c>
      <c r="E412" s="431"/>
      <c r="F412" s="431"/>
      <c r="G412" s="431"/>
      <c r="I412" s="0"/>
    </row>
    <row r="413" customFormat="false" ht="15" hidden="false" customHeight="false" outlineLevel="0" collapsed="false">
      <c r="B413" s="443" t="s">
        <v>279</v>
      </c>
      <c r="C413" s="444" t="s">
        <v>280</v>
      </c>
      <c r="D413" s="445" t="s">
        <v>281</v>
      </c>
      <c r="E413" s="445" t="s">
        <v>282</v>
      </c>
      <c r="F413" s="61" t="s">
        <v>283</v>
      </c>
      <c r="G413" s="446" t="s">
        <v>284</v>
      </c>
      <c r="I413" s="0"/>
    </row>
    <row r="414" customFormat="false" ht="15.75" hidden="false" customHeight="false" outlineLevel="0" collapsed="false">
      <c r="B414" s="531" t="s">
        <v>298</v>
      </c>
      <c r="C414" s="467" t="s">
        <v>299</v>
      </c>
      <c r="D414" s="529" t="s">
        <v>297</v>
      </c>
      <c r="E414" s="542" t="n">
        <v>0.03</v>
      </c>
      <c r="F414" s="532" t="n">
        <v>12.22</v>
      </c>
      <c r="G414" s="447" t="n">
        <f aca="false">E414*F414</f>
        <v>0.3666</v>
      </c>
      <c r="I414" s="0"/>
    </row>
    <row r="415" customFormat="false" ht="15.75" hidden="false" customHeight="false" outlineLevel="0" collapsed="false">
      <c r="B415" s="385"/>
      <c r="C415" s="386"/>
      <c r="D415" s="387"/>
      <c r="E415" s="387"/>
      <c r="F415" s="387"/>
      <c r="G415" s="370" t="n">
        <f aca="false">SUM(G414:G414)</f>
        <v>0.3666</v>
      </c>
      <c r="I415" s="0"/>
    </row>
    <row r="416" customFormat="false" ht="15.75" hidden="false" customHeight="false" outlineLevel="0" collapsed="false">
      <c r="B416" s="393" t="s">
        <v>583</v>
      </c>
      <c r="C416" s="393"/>
      <c r="D416" s="393"/>
      <c r="E416" s="393"/>
      <c r="F416" s="393"/>
      <c r="G416" s="393"/>
      <c r="I416" s="0"/>
    </row>
    <row r="417" customFormat="false" ht="15" hidden="false" customHeight="false" outlineLevel="0" collapsed="false">
      <c r="I417" s="0"/>
    </row>
    <row r="418" customFormat="false" ht="15.75" hidden="false" customHeight="false" outlineLevel="0" collapsed="false">
      <c r="I418" s="0"/>
    </row>
    <row r="419" customFormat="false" ht="15.75" hidden="false" customHeight="false" outlineLevel="0" collapsed="false">
      <c r="B419" s="372" t="s">
        <v>584</v>
      </c>
      <c r="C419" s="373" t="s">
        <v>585</v>
      </c>
      <c r="D419" s="431" t="s">
        <v>318</v>
      </c>
      <c r="E419" s="431"/>
      <c r="F419" s="431"/>
      <c r="G419" s="431"/>
      <c r="I419" s="0"/>
    </row>
    <row r="420" customFormat="false" ht="15" hidden="false" customHeight="false" outlineLevel="0" collapsed="false">
      <c r="B420" s="443" t="s">
        <v>279</v>
      </c>
      <c r="C420" s="444" t="s">
        <v>280</v>
      </c>
      <c r="D420" s="445" t="s">
        <v>281</v>
      </c>
      <c r="E420" s="445" t="s">
        <v>282</v>
      </c>
      <c r="F420" s="61" t="s">
        <v>283</v>
      </c>
      <c r="G420" s="446" t="s">
        <v>284</v>
      </c>
      <c r="I420" s="0"/>
    </row>
    <row r="421" customFormat="false" ht="15" hidden="false" customHeight="false" outlineLevel="0" collapsed="false">
      <c r="B421" s="531" t="s">
        <v>586</v>
      </c>
      <c r="C421" s="467" t="s">
        <v>587</v>
      </c>
      <c r="D421" s="529" t="s">
        <v>318</v>
      </c>
      <c r="E421" s="542" t="n">
        <v>1</v>
      </c>
      <c r="F421" s="532" t="n">
        <v>2.22</v>
      </c>
      <c r="G421" s="447" t="n">
        <f aca="false">E421*F421</f>
        <v>2.22</v>
      </c>
      <c r="I421" s="0"/>
    </row>
    <row r="422" customFormat="false" ht="15.75" hidden="false" customHeight="false" outlineLevel="0" collapsed="false">
      <c r="B422" s="531" t="s">
        <v>298</v>
      </c>
      <c r="C422" s="467" t="s">
        <v>299</v>
      </c>
      <c r="D422" s="529" t="s">
        <v>297</v>
      </c>
      <c r="E422" s="542" t="n">
        <v>0.06</v>
      </c>
      <c r="F422" s="532" t="n">
        <v>12.22</v>
      </c>
      <c r="G422" s="447" t="n">
        <f aca="false">E422*F422</f>
        <v>0.7332</v>
      </c>
      <c r="I422" s="0"/>
    </row>
    <row r="423" customFormat="false" ht="15.75" hidden="false" customHeight="false" outlineLevel="0" collapsed="false">
      <c r="B423" s="385"/>
      <c r="C423" s="386"/>
      <c r="D423" s="387"/>
      <c r="E423" s="387"/>
      <c r="F423" s="387"/>
      <c r="G423" s="370" t="n">
        <f aca="false">SUM(G421:G422)</f>
        <v>2.9532</v>
      </c>
      <c r="I423" s="0"/>
    </row>
    <row r="424" customFormat="false" ht="15.75" hidden="false" customHeight="false" outlineLevel="0" collapsed="false">
      <c r="B424" s="393" t="s">
        <v>588</v>
      </c>
      <c r="C424" s="393"/>
      <c r="D424" s="393"/>
      <c r="E424" s="393"/>
      <c r="F424" s="393"/>
      <c r="G424" s="393"/>
      <c r="I424" s="0"/>
    </row>
    <row r="425" customFormat="false" ht="15" hidden="false" customHeight="false" outlineLevel="0" collapsed="false">
      <c r="I425" s="0"/>
    </row>
    <row r="426" customFormat="false" ht="15.75" hidden="false" customHeight="false" outlineLevel="0" collapsed="false">
      <c r="I426" s="0"/>
    </row>
    <row r="427" customFormat="false" ht="15.75" hidden="false" customHeight="false" outlineLevel="0" collapsed="false">
      <c r="B427" s="372" t="s">
        <v>589</v>
      </c>
      <c r="C427" s="373" t="s">
        <v>590</v>
      </c>
      <c r="D427" s="431" t="s">
        <v>328</v>
      </c>
      <c r="E427" s="431"/>
      <c r="F427" s="431"/>
      <c r="G427" s="431"/>
    </row>
    <row r="428" customFormat="false" ht="15" hidden="false" customHeight="false" outlineLevel="0" collapsed="false">
      <c r="B428" s="443" t="s">
        <v>279</v>
      </c>
      <c r="C428" s="444" t="s">
        <v>280</v>
      </c>
      <c r="D428" s="445" t="s">
        <v>281</v>
      </c>
      <c r="E428" s="445" t="s">
        <v>282</v>
      </c>
      <c r="F428" s="61" t="s">
        <v>283</v>
      </c>
      <c r="G428" s="446" t="s">
        <v>284</v>
      </c>
    </row>
    <row r="429" customFormat="false" ht="15" hidden="false" customHeight="false" outlineLevel="0" collapsed="false">
      <c r="B429" s="531" t="s">
        <v>591</v>
      </c>
      <c r="C429" s="467" t="s">
        <v>592</v>
      </c>
      <c r="D429" s="529" t="s">
        <v>328</v>
      </c>
      <c r="E429" s="542" t="n">
        <v>1.05</v>
      </c>
      <c r="F429" s="532" t="n">
        <v>14.54</v>
      </c>
      <c r="G429" s="447" t="n">
        <v>14.54</v>
      </c>
    </row>
    <row r="430" customFormat="false" ht="15.75" hidden="false" customHeight="false" outlineLevel="0" collapsed="false">
      <c r="B430" s="531" t="s">
        <v>298</v>
      </c>
      <c r="C430" s="467" t="s">
        <v>299</v>
      </c>
      <c r="D430" s="529" t="s">
        <v>297</v>
      </c>
      <c r="E430" s="542" t="n">
        <v>0.34</v>
      </c>
      <c r="F430" s="532" t="n">
        <v>12.22</v>
      </c>
      <c r="G430" s="447" t="n">
        <f aca="false">E430*F430</f>
        <v>4.1548</v>
      </c>
    </row>
    <row r="431" customFormat="false" ht="15.75" hidden="false" customHeight="false" outlineLevel="0" collapsed="false">
      <c r="B431" s="385"/>
      <c r="C431" s="386"/>
      <c r="D431" s="387"/>
      <c r="E431" s="387"/>
      <c r="F431" s="387"/>
      <c r="G431" s="370" t="n">
        <f aca="false">SUM(G429:G430)</f>
        <v>18.6948</v>
      </c>
    </row>
    <row r="432" customFormat="false" ht="15.75" hidden="false" customHeight="false" outlineLevel="0" collapsed="false">
      <c r="B432" s="393" t="s">
        <v>593</v>
      </c>
      <c r="C432" s="393"/>
      <c r="D432" s="393"/>
      <c r="E432" s="393"/>
      <c r="F432" s="393"/>
      <c r="G432" s="393"/>
    </row>
    <row r="434" customFormat="false" ht="15.75" hidden="false" customHeight="false" outlineLevel="0" collapsed="false"/>
    <row r="435" customFormat="false" ht="26.25" hidden="false" customHeight="false" outlineLevel="0" collapsed="false">
      <c r="B435" s="372" t="s">
        <v>594</v>
      </c>
      <c r="C435" s="373" t="s">
        <v>76</v>
      </c>
      <c r="D435" s="431" t="s">
        <v>318</v>
      </c>
      <c r="E435" s="431"/>
      <c r="F435" s="431"/>
      <c r="G435" s="431"/>
    </row>
    <row r="436" customFormat="false" ht="15" hidden="false" customHeight="false" outlineLevel="0" collapsed="false">
      <c r="B436" s="443" t="s">
        <v>279</v>
      </c>
      <c r="C436" s="444" t="s">
        <v>280</v>
      </c>
      <c r="D436" s="445" t="s">
        <v>281</v>
      </c>
      <c r="E436" s="445" t="s">
        <v>282</v>
      </c>
      <c r="F436" s="61" t="s">
        <v>283</v>
      </c>
      <c r="G436" s="446" t="s">
        <v>284</v>
      </c>
    </row>
    <row r="437" customFormat="false" ht="15.75" hidden="false" customHeight="false" outlineLevel="0" collapsed="false">
      <c r="B437" s="531" t="s">
        <v>595</v>
      </c>
      <c r="C437" s="467" t="s">
        <v>596</v>
      </c>
      <c r="D437" s="543" t="s">
        <v>318</v>
      </c>
      <c r="E437" s="542" t="n">
        <v>1</v>
      </c>
      <c r="F437" s="422" t="n">
        <v>230</v>
      </c>
      <c r="G437" s="447" t="n">
        <f aca="false">E437*F437</f>
        <v>230</v>
      </c>
    </row>
    <row r="438" customFormat="false" ht="15.75" hidden="false" customHeight="false" outlineLevel="0" collapsed="false">
      <c r="B438" s="385"/>
      <c r="C438" s="386"/>
      <c r="D438" s="387"/>
      <c r="E438" s="387"/>
      <c r="F438" s="387"/>
      <c r="G438" s="370" t="n">
        <f aca="false">SUM(G437:G437)</f>
        <v>230</v>
      </c>
    </row>
    <row r="439" customFormat="false" ht="15.75" hidden="false" customHeight="false" outlineLevel="0" collapsed="false">
      <c r="B439" s="393" t="s">
        <v>597</v>
      </c>
      <c r="C439" s="393"/>
      <c r="D439" s="393"/>
      <c r="E439" s="393"/>
      <c r="F439" s="393"/>
      <c r="G439" s="393"/>
    </row>
    <row r="441" customFormat="false" ht="15.75" hidden="false" customHeight="false" outlineLevel="0" collapsed="false"/>
    <row r="442" customFormat="false" ht="15.75" hidden="false" customHeight="false" outlineLevel="0" collapsed="false">
      <c r="B442" s="372" t="s">
        <v>598</v>
      </c>
      <c r="C442" s="373" t="s">
        <v>599</v>
      </c>
      <c r="D442" s="431" t="s">
        <v>318</v>
      </c>
      <c r="E442" s="431"/>
      <c r="F442" s="431"/>
      <c r="G442" s="431"/>
    </row>
    <row r="443" customFormat="false" ht="15" hidden="false" customHeight="false" outlineLevel="0" collapsed="false">
      <c r="B443" s="443" t="s">
        <v>279</v>
      </c>
      <c r="C443" s="444" t="s">
        <v>280</v>
      </c>
      <c r="D443" s="445" t="s">
        <v>281</v>
      </c>
      <c r="E443" s="445" t="s">
        <v>282</v>
      </c>
      <c r="F443" s="61" t="s">
        <v>283</v>
      </c>
      <c r="G443" s="446" t="s">
        <v>284</v>
      </c>
    </row>
    <row r="444" customFormat="false" ht="15.75" hidden="false" customHeight="false" outlineLevel="0" collapsed="false">
      <c r="B444" s="531" t="s">
        <v>600</v>
      </c>
      <c r="C444" s="467" t="s">
        <v>601</v>
      </c>
      <c r="D444" s="543" t="s">
        <v>318</v>
      </c>
      <c r="E444" s="542" t="n">
        <v>1</v>
      </c>
      <c r="F444" s="422" t="n">
        <v>14</v>
      </c>
      <c r="G444" s="447" t="n">
        <f aca="false">E444*F444</f>
        <v>14</v>
      </c>
    </row>
    <row r="445" customFormat="false" ht="15.75" hidden="false" customHeight="false" outlineLevel="0" collapsed="false">
      <c r="B445" s="385"/>
      <c r="C445" s="386"/>
      <c r="D445" s="387"/>
      <c r="E445" s="387"/>
      <c r="F445" s="387"/>
      <c r="G445" s="370" t="n">
        <f aca="false">SUM(G444:G444)</f>
        <v>14</v>
      </c>
    </row>
    <row r="446" customFormat="false" ht="15.75" hidden="false" customHeight="false" outlineLevel="0" collapsed="false">
      <c r="B446" s="393" t="s">
        <v>602</v>
      </c>
      <c r="C446" s="393"/>
      <c r="D446" s="393"/>
      <c r="E446" s="393"/>
      <c r="F446" s="393"/>
      <c r="G446" s="393"/>
    </row>
  </sheetData>
  <mergeCells count="82">
    <mergeCell ref="B1:G1"/>
    <mergeCell ref="C2:G2"/>
    <mergeCell ref="D5:G5"/>
    <mergeCell ref="D17:G17"/>
    <mergeCell ref="D23:G23"/>
    <mergeCell ref="D30:G30"/>
    <mergeCell ref="B35:G35"/>
    <mergeCell ref="D38:G38"/>
    <mergeCell ref="D45:G45"/>
    <mergeCell ref="B50:G50"/>
    <mergeCell ref="D53:G53"/>
    <mergeCell ref="B59:G59"/>
    <mergeCell ref="D62:G62"/>
    <mergeCell ref="B68:G68"/>
    <mergeCell ref="D71:G71"/>
    <mergeCell ref="D80:G80"/>
    <mergeCell ref="D90:G90"/>
    <mergeCell ref="B99:G99"/>
    <mergeCell ref="D102:G102"/>
    <mergeCell ref="B111:G111"/>
    <mergeCell ref="D114:G114"/>
    <mergeCell ref="B120:G120"/>
    <mergeCell ref="B121:G121"/>
    <mergeCell ref="D123:G123"/>
    <mergeCell ref="B129:G129"/>
    <mergeCell ref="D132:G132"/>
    <mergeCell ref="B139:G139"/>
    <mergeCell ref="B140:G140"/>
    <mergeCell ref="D142:G142"/>
    <mergeCell ref="D152:G152"/>
    <mergeCell ref="D162:G162"/>
    <mergeCell ref="D172:G172"/>
    <mergeCell ref="D182:G182"/>
    <mergeCell ref="B187:G187"/>
    <mergeCell ref="D190:G190"/>
    <mergeCell ref="B195:G195"/>
    <mergeCell ref="D198:G198"/>
    <mergeCell ref="B207:G207"/>
    <mergeCell ref="D210:G210"/>
    <mergeCell ref="B216:G216"/>
    <mergeCell ref="D219:G219"/>
    <mergeCell ref="B233:G233"/>
    <mergeCell ref="D236:G236"/>
    <mergeCell ref="B241:G241"/>
    <mergeCell ref="D244:G244"/>
    <mergeCell ref="B250:G250"/>
    <mergeCell ref="D253:G253"/>
    <mergeCell ref="B259:G259"/>
    <mergeCell ref="D262:G262"/>
    <mergeCell ref="D273:G273"/>
    <mergeCell ref="D283:G283"/>
    <mergeCell ref="D293:G293"/>
    <mergeCell ref="D303:G303"/>
    <mergeCell ref="D313:G313"/>
    <mergeCell ref="D323:G323"/>
    <mergeCell ref="D334:G334"/>
    <mergeCell ref="B340:G340"/>
    <mergeCell ref="D343:G343"/>
    <mergeCell ref="B349:G349"/>
    <mergeCell ref="D352:G352"/>
    <mergeCell ref="B356:G356"/>
    <mergeCell ref="D359:G359"/>
    <mergeCell ref="D365:G365"/>
    <mergeCell ref="B371:G371"/>
    <mergeCell ref="D374:G374"/>
    <mergeCell ref="B379:G379"/>
    <mergeCell ref="D382:G382"/>
    <mergeCell ref="B389:G389"/>
    <mergeCell ref="D392:G392"/>
    <mergeCell ref="B397:G397"/>
    <mergeCell ref="D400:G400"/>
    <mergeCell ref="B409:G409"/>
    <mergeCell ref="D412:G412"/>
    <mergeCell ref="B416:G416"/>
    <mergeCell ref="D419:G419"/>
    <mergeCell ref="B424:G424"/>
    <mergeCell ref="D427:G427"/>
    <mergeCell ref="B432:G432"/>
    <mergeCell ref="D435:G435"/>
    <mergeCell ref="B439:G439"/>
    <mergeCell ref="D442:G442"/>
    <mergeCell ref="B446:G4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4:G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78.71"/>
    <col collapsed="false" customWidth="true" hidden="false" outlineLevel="0" max="4" min="4" style="0" width="13.01"/>
    <col collapsed="false" customWidth="true" hidden="false" outlineLevel="0" max="5" min="5" style="0" width="12.42"/>
    <col collapsed="false" customWidth="true" hidden="false" outlineLevel="0" max="6" min="6" style="0" width="11.86"/>
    <col collapsed="false" customWidth="true" hidden="false" outlineLevel="0" max="7" min="7" style="0" width="9.71"/>
    <col collapsed="false" customWidth="true" hidden="false" outlineLevel="0" max="1025" min="8" style="0" width="8.67"/>
  </cols>
  <sheetData>
    <row r="4" customFormat="false" ht="15.75" hidden="false" customHeight="false" outlineLevel="0" collapsed="false"/>
    <row r="5" customFormat="false" ht="15.75" hidden="false" customHeight="false" outlineLevel="0" collapsed="false">
      <c r="B5" s="345"/>
      <c r="C5" s="544" t="s">
        <v>603</v>
      </c>
      <c r="D5" s="545" t="s">
        <v>604</v>
      </c>
      <c r="E5" s="545" t="s">
        <v>605</v>
      </c>
      <c r="F5" s="545" t="s">
        <v>606</v>
      </c>
      <c r="G5" s="546" t="s">
        <v>607</v>
      </c>
    </row>
    <row r="6" customFormat="false" ht="15" hidden="false" customHeight="false" outlineLevel="0" collapsed="false">
      <c r="C6" s="547" t="s">
        <v>371</v>
      </c>
      <c r="D6" s="548" t="n">
        <v>5.5</v>
      </c>
      <c r="E6" s="548" t="n">
        <v>6.5</v>
      </c>
      <c r="F6" s="549" t="n">
        <v>3.68</v>
      </c>
      <c r="G6" s="550" t="n">
        <f aca="false">AVERAGE(D6:F6)</f>
        <v>5.22666666666667</v>
      </c>
    </row>
    <row r="7" customFormat="false" ht="15" hidden="false" customHeight="false" outlineLevel="0" collapsed="false">
      <c r="C7" s="551" t="s">
        <v>369</v>
      </c>
      <c r="D7" s="552" t="n">
        <v>5.9</v>
      </c>
      <c r="E7" s="553" t="n">
        <v>5.45</v>
      </c>
      <c r="F7" s="554" t="n">
        <v>4.4</v>
      </c>
      <c r="G7" s="555" t="n">
        <f aca="false">AVERAGE(D7:F7)</f>
        <v>5.25</v>
      </c>
    </row>
    <row r="8" customFormat="false" ht="15" hidden="false" customHeight="false" outlineLevel="0" collapsed="false">
      <c r="C8" s="556" t="s">
        <v>357</v>
      </c>
      <c r="D8" s="557" t="n">
        <v>3</v>
      </c>
      <c r="E8" s="558" t="n">
        <v>3.9</v>
      </c>
      <c r="F8" s="559" t="n">
        <v>6.3</v>
      </c>
      <c r="G8" s="555" t="n">
        <f aca="false">AVERAGE(D8:F8)</f>
        <v>4.4</v>
      </c>
    </row>
    <row r="9" customFormat="false" ht="15.75" hidden="false" customHeight="false" outlineLevel="0" collapsed="false">
      <c r="C9" s="560" t="s">
        <v>608</v>
      </c>
      <c r="D9" s="561" t="n">
        <v>24.5</v>
      </c>
      <c r="E9" s="561" t="n">
        <f aca="false">40.65/3.6</f>
        <v>11.2916666666667</v>
      </c>
      <c r="F9" s="562" t="n">
        <f aca="false">64.99/3.6</f>
        <v>18.0527777777778</v>
      </c>
      <c r="G9" s="563" t="n">
        <f aca="false">AVERAGE(D9:F9)</f>
        <v>17.9481481481481</v>
      </c>
    </row>
    <row r="10" customFormat="false" ht="15" hidden="false" customHeight="false" outlineLevel="0" collapsed="false">
      <c r="C10" s="564"/>
      <c r="D10" s="565"/>
      <c r="E10" s="565"/>
      <c r="F10" s="565"/>
      <c r="G10" s="565"/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C2:D27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D17" activeCellId="0" sqref="D17"/>
    </sheetView>
  </sheetViews>
  <sheetFormatPr defaultRowHeight="15" zeroHeight="false" outlineLevelRow="0" outlineLevelCol="0"/>
  <cols>
    <col collapsed="false" customWidth="true" hidden="false" outlineLevel="0" max="2" min="1" style="0" width="8.67"/>
    <col collapsed="false" customWidth="true" hidden="false" outlineLevel="0" max="3" min="3" style="0" width="53.29"/>
    <col collapsed="false" customWidth="true" hidden="false" outlineLevel="0" max="4" min="4" style="0" width="20.86"/>
    <col collapsed="false" customWidth="true" hidden="false" outlineLevel="0" max="1025" min="5" style="0" width="8.67"/>
  </cols>
  <sheetData>
    <row r="2" customFormat="false" ht="15.75" hidden="false" customHeight="false" outlineLevel="0" collapsed="false"/>
    <row r="3" customFormat="false" ht="21" hidden="false" customHeight="true" outlineLevel="0" collapsed="false">
      <c r="C3" s="7" t="s">
        <v>609</v>
      </c>
      <c r="D3" s="7"/>
    </row>
    <row r="4" customFormat="false" ht="19.5" hidden="false" customHeight="true" outlineLevel="0" collapsed="false">
      <c r="C4" s="566" t="s">
        <v>90</v>
      </c>
      <c r="D4" s="567"/>
    </row>
    <row r="5" customFormat="false" ht="11.25" hidden="false" customHeight="true" outlineLevel="0" collapsed="false">
      <c r="C5" s="566"/>
      <c r="D5" s="568"/>
    </row>
    <row r="6" customFormat="false" ht="24.75" hidden="false" customHeight="true" outlineLevel="0" collapsed="false">
      <c r="C6" s="566"/>
      <c r="D6" s="569"/>
    </row>
    <row r="7" customFormat="false" ht="25.5" hidden="false" customHeight="true" outlineLevel="0" collapsed="false">
      <c r="C7" s="566"/>
      <c r="D7" s="570"/>
    </row>
    <row r="8" customFormat="false" ht="29.25" hidden="false" customHeight="true" outlineLevel="0" collapsed="false">
      <c r="C8" s="571" t="s">
        <v>610</v>
      </c>
      <c r="D8" s="571"/>
    </row>
    <row r="9" customFormat="false" ht="30" hidden="false" customHeight="false" outlineLevel="0" collapsed="false">
      <c r="C9" s="572" t="s">
        <v>611</v>
      </c>
      <c r="D9" s="573" t="s">
        <v>612</v>
      </c>
    </row>
    <row r="10" customFormat="false" ht="15" hidden="false" customHeight="false" outlineLevel="0" collapsed="false">
      <c r="C10" s="574" t="s">
        <v>613</v>
      </c>
      <c r="D10" s="575" t="n">
        <v>0.055</v>
      </c>
    </row>
    <row r="11" customFormat="false" ht="15" hidden="false" customHeight="false" outlineLevel="0" collapsed="false">
      <c r="C11" s="574" t="s">
        <v>614</v>
      </c>
      <c r="D11" s="575" t="n">
        <v>0.01</v>
      </c>
    </row>
    <row r="12" customFormat="false" ht="15" hidden="false" customHeight="false" outlineLevel="0" collapsed="false">
      <c r="C12" s="574" t="s">
        <v>615</v>
      </c>
      <c r="D12" s="575" t="n">
        <v>0.0125</v>
      </c>
    </row>
    <row r="13" customFormat="false" ht="15.75" hidden="false" customHeight="false" outlineLevel="0" collapsed="false">
      <c r="C13" s="576" t="s">
        <v>616</v>
      </c>
      <c r="D13" s="577" t="n">
        <v>0.0135</v>
      </c>
    </row>
    <row r="14" customFormat="false" ht="30" hidden="false" customHeight="true" outlineLevel="0" collapsed="false">
      <c r="C14" s="578" t="s">
        <v>617</v>
      </c>
      <c r="D14" s="578"/>
    </row>
    <row r="15" customFormat="false" ht="30" hidden="false" customHeight="false" outlineLevel="0" collapsed="false">
      <c r="C15" s="572" t="s">
        <v>611</v>
      </c>
      <c r="D15" s="573" t="s">
        <v>612</v>
      </c>
    </row>
    <row r="16" customFormat="false" ht="15" hidden="false" customHeight="false" outlineLevel="0" collapsed="false">
      <c r="C16" s="579" t="s">
        <v>618</v>
      </c>
      <c r="D16" s="575" t="n">
        <f aca="false">SUM(D17:D21)</f>
        <v>0.1065</v>
      </c>
    </row>
    <row r="17" customFormat="false" ht="15" hidden="false" customHeight="false" outlineLevel="0" collapsed="false">
      <c r="C17" s="579" t="s">
        <v>619</v>
      </c>
      <c r="D17" s="575" t="n">
        <v>0.045</v>
      </c>
    </row>
    <row r="18" customFormat="false" ht="15" hidden="false" customHeight="false" outlineLevel="0" collapsed="false">
      <c r="C18" s="579" t="s">
        <v>620</v>
      </c>
      <c r="D18" s="575" t="n">
        <v>0.0065</v>
      </c>
    </row>
    <row r="19" customFormat="false" ht="15" hidden="false" customHeight="false" outlineLevel="0" collapsed="false">
      <c r="C19" s="579" t="s">
        <v>621</v>
      </c>
      <c r="D19" s="580" t="n">
        <v>0.03</v>
      </c>
    </row>
    <row r="20" customFormat="false" ht="15" hidden="false" customHeight="false" outlineLevel="0" collapsed="false">
      <c r="C20" s="579" t="s">
        <v>622</v>
      </c>
      <c r="D20" s="581" t="n">
        <v>0</v>
      </c>
    </row>
    <row r="21" customFormat="false" ht="15" hidden="false" customHeight="false" outlineLevel="0" collapsed="false">
      <c r="C21" s="579" t="s">
        <v>623</v>
      </c>
      <c r="D21" s="575" t="n">
        <v>0.025</v>
      </c>
    </row>
    <row r="22" customFormat="false" ht="15" hidden="false" customHeight="false" outlineLevel="0" collapsed="false">
      <c r="C22" s="582"/>
      <c r="D22" s="583"/>
    </row>
    <row r="23" customFormat="false" ht="15.75" hidden="false" customHeight="false" outlineLevel="0" collapsed="false">
      <c r="C23" s="582" t="s">
        <v>624</v>
      </c>
      <c r="D23" s="583" t="n">
        <v>0.074</v>
      </c>
    </row>
    <row r="24" customFormat="false" ht="15" hidden="false" customHeight="true" outlineLevel="0" collapsed="false">
      <c r="C24" s="584" t="s">
        <v>625</v>
      </c>
      <c r="D24" s="584"/>
    </row>
    <row r="25" customFormat="false" ht="15" hidden="false" customHeight="true" outlineLevel="0" collapsed="false">
      <c r="C25" s="585" t="s">
        <v>626</v>
      </c>
      <c r="D25" s="585"/>
    </row>
    <row r="26" customFormat="false" ht="15.75" hidden="false" customHeight="true" outlineLevel="0" collapsed="false">
      <c r="C26" s="586" t="s">
        <v>627</v>
      </c>
      <c r="D26" s="586"/>
    </row>
    <row r="27" customFormat="false" ht="16.5" hidden="false" customHeight="false" outlineLevel="0" collapsed="false">
      <c r="C27" s="587" t="s">
        <v>628</v>
      </c>
      <c r="D27" s="588" t="n">
        <f aca="false">ROUND(((1+(D10+D11+D12))*(1+D13)*(1+D23))/(1-D16)-1,4)</f>
        <v>0.3127</v>
      </c>
    </row>
  </sheetData>
  <mergeCells count="7">
    <mergeCell ref="C3:D3"/>
    <mergeCell ref="C4:C7"/>
    <mergeCell ref="C8:D8"/>
    <mergeCell ref="C14:D14"/>
    <mergeCell ref="C24:D24"/>
    <mergeCell ref="C25:D25"/>
    <mergeCell ref="C26:D2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U14"/>
  <sheetViews>
    <sheetView showFormulas="false" showGridLines="true" showRowColHeaders="true" showZeros="true" rightToLeft="false" tabSelected="false" showOutlineSymbols="true" defaultGridColor="true" view="normal" topLeftCell="C1" colorId="64" zoomScale="85" zoomScaleNormal="85" zoomScalePageLayoutView="100" workbookViewId="0">
      <selection pane="topLeft" activeCell="U18" activeCellId="0" sqref="U18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7"/>
    <col collapsed="false" customWidth="true" hidden="false" outlineLevel="0" max="3" min="3" style="0" width="36.85"/>
    <col collapsed="false" customWidth="true" hidden="false" outlineLevel="0" max="4" min="4" style="0" width="13.57"/>
    <col collapsed="false" customWidth="true" hidden="false" outlineLevel="0" max="5" min="5" style="0" width="10.58"/>
    <col collapsed="false" customWidth="true" hidden="false" outlineLevel="0" max="6" min="6" style="0" width="11.86"/>
    <col collapsed="false" customWidth="true" hidden="false" outlineLevel="0" max="7" min="7" style="0" width="16.86"/>
    <col collapsed="false" customWidth="true" hidden="false" outlineLevel="0" max="8" min="8" style="0" width="8.67"/>
    <col collapsed="false" customWidth="true" hidden="false" outlineLevel="0" max="9" min="9" style="0" width="12.71"/>
    <col collapsed="false" customWidth="true" hidden="false" outlineLevel="0" max="10" min="10" style="0" width="8.67"/>
    <col collapsed="false" customWidth="true" hidden="false" outlineLevel="0" max="11" min="11" style="0" width="12.71"/>
    <col collapsed="false" customWidth="true" hidden="false" outlineLevel="0" max="12" min="12" style="0" width="8.67"/>
    <col collapsed="false" customWidth="true" hidden="false" outlineLevel="0" max="13" min="13" style="0" width="12.71"/>
    <col collapsed="false" customWidth="true" hidden="false" outlineLevel="0" max="14" min="14" style="0" width="8.67"/>
    <col collapsed="false" customWidth="true" hidden="false" outlineLevel="0" max="15" min="15" style="0" width="12.71"/>
    <col collapsed="false" customWidth="true" hidden="false" outlineLevel="0" max="16" min="16" style="0" width="8.67"/>
    <col collapsed="false" customWidth="true" hidden="false" outlineLevel="0" max="17" min="17" style="0" width="12.71"/>
    <col collapsed="false" customWidth="true" hidden="false" outlineLevel="0" max="18" min="18" style="0" width="8.67"/>
    <col collapsed="false" customWidth="true" hidden="false" outlineLevel="0" max="19" min="19" style="0" width="12.71"/>
    <col collapsed="false" customWidth="true" hidden="false" outlineLevel="0" max="1025" min="20" style="0" width="8.67"/>
  </cols>
  <sheetData>
    <row r="1" customFormat="false" ht="15.75" hidden="false" customHeight="false" outlineLevel="0" collapsed="false"/>
    <row r="2" customFormat="false" ht="30" hidden="false" customHeight="true" outlineLevel="0" collapsed="false">
      <c r="B2" s="589"/>
      <c r="C2" s="590" t="s">
        <v>629</v>
      </c>
      <c r="D2" s="590"/>
      <c r="E2" s="590"/>
      <c r="F2" s="590"/>
      <c r="G2" s="590"/>
      <c r="H2" s="590"/>
      <c r="I2" s="590"/>
      <c r="J2" s="590"/>
      <c r="K2" s="590"/>
      <c r="L2" s="590"/>
      <c r="M2" s="590"/>
      <c r="N2" s="590"/>
      <c r="O2" s="590"/>
      <c r="P2" s="590"/>
      <c r="Q2" s="590"/>
      <c r="R2" s="590"/>
      <c r="S2" s="590"/>
    </row>
    <row r="3" customFormat="false" ht="24.75" hidden="false" customHeight="true" outlineLevel="0" collapsed="false">
      <c r="B3" s="591"/>
      <c r="C3" s="590"/>
      <c r="D3" s="590"/>
      <c r="E3" s="590"/>
      <c r="F3" s="590"/>
      <c r="G3" s="590"/>
      <c r="H3" s="590"/>
      <c r="I3" s="590"/>
      <c r="J3" s="590"/>
      <c r="K3" s="590"/>
      <c r="L3" s="590"/>
      <c r="M3" s="590"/>
      <c r="N3" s="590"/>
      <c r="O3" s="590"/>
      <c r="P3" s="590"/>
      <c r="Q3" s="590"/>
      <c r="R3" s="590"/>
      <c r="S3" s="590"/>
    </row>
    <row r="4" customFormat="false" ht="23.25" hidden="false" customHeight="true" outlineLevel="0" collapsed="false">
      <c r="B4" s="592"/>
      <c r="C4" s="593" t="s">
        <v>630</v>
      </c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</row>
    <row r="5" customFormat="false" ht="15" hidden="false" customHeight="true" outlineLevel="0" collapsed="false">
      <c r="B5" s="594" t="s">
        <v>8</v>
      </c>
      <c r="C5" s="595" t="s">
        <v>10</v>
      </c>
      <c r="D5" s="596" t="s">
        <v>631</v>
      </c>
      <c r="E5" s="595" t="s">
        <v>268</v>
      </c>
      <c r="F5" s="596" t="s">
        <v>269</v>
      </c>
      <c r="G5" s="597" t="s">
        <v>632</v>
      </c>
      <c r="H5" s="597" t="s">
        <v>633</v>
      </c>
      <c r="I5" s="597"/>
      <c r="J5" s="597" t="s">
        <v>634</v>
      </c>
      <c r="K5" s="597"/>
      <c r="L5" s="597" t="s">
        <v>635</v>
      </c>
      <c r="M5" s="597"/>
      <c r="N5" s="597" t="s">
        <v>636</v>
      </c>
      <c r="O5" s="597"/>
      <c r="P5" s="597" t="s">
        <v>637</v>
      </c>
      <c r="Q5" s="597"/>
      <c r="R5" s="597" t="s">
        <v>638</v>
      </c>
      <c r="S5" s="597"/>
    </row>
    <row r="6" customFormat="false" ht="15" hidden="false" customHeight="true" outlineLevel="0" collapsed="false">
      <c r="B6" s="594"/>
      <c r="C6" s="595"/>
      <c r="D6" s="596"/>
      <c r="E6" s="595"/>
      <c r="F6" s="596"/>
      <c r="G6" s="597"/>
      <c r="H6" s="598" t="s">
        <v>268</v>
      </c>
      <c r="I6" s="598" t="s">
        <v>639</v>
      </c>
      <c r="J6" s="598" t="s">
        <v>268</v>
      </c>
      <c r="K6" s="598" t="s">
        <v>639</v>
      </c>
      <c r="L6" s="598" t="s">
        <v>268</v>
      </c>
      <c r="M6" s="599" t="s">
        <v>639</v>
      </c>
      <c r="N6" s="598" t="s">
        <v>268</v>
      </c>
      <c r="O6" s="598" t="s">
        <v>639</v>
      </c>
      <c r="P6" s="598" t="s">
        <v>268</v>
      </c>
      <c r="Q6" s="598" t="s">
        <v>639</v>
      </c>
      <c r="R6" s="598" t="s">
        <v>268</v>
      </c>
      <c r="S6" s="600" t="s">
        <v>639</v>
      </c>
    </row>
    <row r="7" customFormat="false" ht="15" hidden="false" customHeight="false" outlineLevel="0" collapsed="false">
      <c r="B7" s="601" t="n">
        <v>1</v>
      </c>
      <c r="C7" s="602" t="str">
        <f aca="false">'Orçamento Resumo'!B5</f>
        <v>SERVIÇOS PRELIMINARES</v>
      </c>
      <c r="D7" s="603" t="n">
        <f aca="false">'Orçamento Resumo'!C5</f>
        <v>17512.31</v>
      </c>
      <c r="E7" s="604" t="n">
        <f aca="false">D7/$D$13</f>
        <v>0.100911006503781</v>
      </c>
      <c r="F7" s="605" t="n">
        <f aca="false">D7*BDI!D27</f>
        <v>5476.099337</v>
      </c>
      <c r="G7" s="606" t="n">
        <f aca="false">D7+F7</f>
        <v>22988.409337</v>
      </c>
      <c r="H7" s="607" t="n">
        <v>0.9</v>
      </c>
      <c r="I7" s="606" t="n">
        <f aca="false">G7*H7</f>
        <v>20689.5684033</v>
      </c>
      <c r="J7" s="607" t="n">
        <v>0.1</v>
      </c>
      <c r="K7" s="606" t="n">
        <f aca="false">J7*G7</f>
        <v>2298.8409337</v>
      </c>
      <c r="L7" s="608"/>
      <c r="M7" s="606" t="n">
        <f aca="false">L7*G7</f>
        <v>0</v>
      </c>
      <c r="N7" s="608"/>
      <c r="O7" s="606" t="n">
        <f aca="false">G7*N7</f>
        <v>0</v>
      </c>
      <c r="P7" s="608"/>
      <c r="Q7" s="606" t="n">
        <f aca="false">G7*P7</f>
        <v>0</v>
      </c>
      <c r="R7" s="607"/>
      <c r="S7" s="609" t="n">
        <f aca="false">R7*G7</f>
        <v>0</v>
      </c>
      <c r="U7" s="610" t="n">
        <f aca="false">H7+J7+L7+N7+P7+R7</f>
        <v>1</v>
      </c>
    </row>
    <row r="8" customFormat="false" ht="15" hidden="false" customHeight="false" outlineLevel="0" collapsed="false">
      <c r="B8" s="601" t="n">
        <v>2</v>
      </c>
      <c r="C8" s="602" t="str">
        <f aca="false">'Orçamento Resumo'!B6</f>
        <v>ESTRUTURA/RECUPERAÇÃO</v>
      </c>
      <c r="D8" s="603" t="n">
        <f aca="false">'Orçamento Resumo'!C6</f>
        <v>98122.97</v>
      </c>
      <c r="E8" s="604" t="n">
        <f aca="false">D8/$D$13</f>
        <v>0.565412995991982</v>
      </c>
      <c r="F8" s="605" t="n">
        <f aca="false">D8*BDI!D27</f>
        <v>30683.052719</v>
      </c>
      <c r="G8" s="606" t="n">
        <f aca="false">D8+F8</f>
        <v>128806.022719</v>
      </c>
      <c r="H8" s="607" t="n">
        <v>0.05</v>
      </c>
      <c r="I8" s="606" t="n">
        <f aca="false">G8*H8</f>
        <v>6440.30113595</v>
      </c>
      <c r="J8" s="607" t="n">
        <v>0.2</v>
      </c>
      <c r="K8" s="606" t="n">
        <f aca="false">J8*G8</f>
        <v>25761.2045438</v>
      </c>
      <c r="L8" s="608" t="n">
        <v>0.3</v>
      </c>
      <c r="M8" s="606" t="n">
        <f aca="false">L8*G8</f>
        <v>38641.8068157</v>
      </c>
      <c r="N8" s="608" t="n">
        <v>0.3</v>
      </c>
      <c r="O8" s="606" t="n">
        <f aca="false">G8*N8</f>
        <v>38641.8068157</v>
      </c>
      <c r="P8" s="608" t="n">
        <v>0.15</v>
      </c>
      <c r="Q8" s="606" t="n">
        <f aca="false">G8*P8</f>
        <v>19320.90340785</v>
      </c>
      <c r="R8" s="607"/>
      <c r="S8" s="609" t="n">
        <f aca="false">R8*G8</f>
        <v>0</v>
      </c>
      <c r="U8" s="610" t="n">
        <f aca="false">H8+J8+L8+N8+P8+R8</f>
        <v>1</v>
      </c>
    </row>
    <row r="9" customFormat="false" ht="15" hidden="false" customHeight="false" outlineLevel="0" collapsed="false">
      <c r="B9" s="601" t="n">
        <v>3</v>
      </c>
      <c r="C9" s="602" t="str">
        <f aca="false">'Orçamento Resumo'!B7</f>
        <v>INSTALAÇÕES HIDROSSANITÁRIAS</v>
      </c>
      <c r="D9" s="603" t="n">
        <f aca="false">'Orçamento Resumo'!C7</f>
        <v>1908.36</v>
      </c>
      <c r="E9" s="604" t="n">
        <f aca="false">D9/$D$13</f>
        <v>0.010996523495276</v>
      </c>
      <c r="F9" s="605" t="n">
        <f aca="false">D9*BDI!D27</f>
        <v>596.744172</v>
      </c>
      <c r="G9" s="606" t="n">
        <f aca="false">D9+F9</f>
        <v>2505.104172</v>
      </c>
      <c r="H9" s="607"/>
      <c r="I9" s="606" t="n">
        <f aca="false">G9*H9</f>
        <v>0</v>
      </c>
      <c r="J9" s="607"/>
      <c r="K9" s="606" t="n">
        <f aca="false">J9*G9</f>
        <v>0</v>
      </c>
      <c r="L9" s="608"/>
      <c r="M9" s="606" t="n">
        <f aca="false">L9*G9</f>
        <v>0</v>
      </c>
      <c r="N9" s="608"/>
      <c r="O9" s="606" t="n">
        <f aca="false">G9*N9</f>
        <v>0</v>
      </c>
      <c r="P9" s="608"/>
      <c r="Q9" s="606" t="n">
        <f aca="false">G9*P9</f>
        <v>0</v>
      </c>
      <c r="R9" s="607" t="n">
        <v>1</v>
      </c>
      <c r="S9" s="609" t="n">
        <f aca="false">R9*G9</f>
        <v>2505.104172</v>
      </c>
      <c r="U9" s="610" t="n">
        <f aca="false">H9+J9+L9+N9+P9+R9</f>
        <v>1</v>
      </c>
    </row>
    <row r="10" customFormat="false" ht="15" hidden="false" customHeight="false" outlineLevel="0" collapsed="false">
      <c r="B10" s="601" t="n">
        <v>4</v>
      </c>
      <c r="C10" s="602" t="str">
        <f aca="false">'Orçamento Resumo'!B8</f>
        <v>IMPERMEABILIZAÇÃO COM CRISTALIZANTE</v>
      </c>
      <c r="D10" s="603" t="n">
        <f aca="false">'Orçamento Resumo'!C8</f>
        <v>11249.69</v>
      </c>
      <c r="E10" s="604" t="n">
        <f aca="false">D10/$D$13</f>
        <v>0.0648239747215258</v>
      </c>
      <c r="F10" s="605" t="n">
        <f aca="false">D10*BDI!D27</f>
        <v>3517.778063</v>
      </c>
      <c r="G10" s="606" t="n">
        <f aca="false">D10+F10</f>
        <v>14767.468063</v>
      </c>
      <c r="H10" s="607"/>
      <c r="I10" s="606" t="n">
        <f aca="false">G10*H10</f>
        <v>0</v>
      </c>
      <c r="J10" s="607"/>
      <c r="K10" s="606" t="n">
        <f aca="false">J10*G10</f>
        <v>0</v>
      </c>
      <c r="L10" s="608"/>
      <c r="M10" s="606" t="n">
        <f aca="false">L10*G10</f>
        <v>0</v>
      </c>
      <c r="N10" s="608"/>
      <c r="O10" s="606" t="n">
        <f aca="false">G10*N10</f>
        <v>0</v>
      </c>
      <c r="P10" s="608" t="n">
        <v>0.7</v>
      </c>
      <c r="Q10" s="606" t="n">
        <f aca="false">G10*P10</f>
        <v>10337.2276441</v>
      </c>
      <c r="R10" s="607" t="n">
        <v>0.3</v>
      </c>
      <c r="S10" s="609" t="n">
        <f aca="false">R10*G10</f>
        <v>4430.2404189</v>
      </c>
      <c r="U10" s="610" t="n">
        <f aca="false">H10+J10+L10+N10+P10+R10</f>
        <v>1</v>
      </c>
    </row>
    <row r="11" customFormat="false" ht="15" hidden="false" customHeight="false" outlineLevel="0" collapsed="false">
      <c r="B11" s="601" t="n">
        <v>5</v>
      </c>
      <c r="C11" s="602" t="str">
        <f aca="false">'Orçamento Resumo'!B9</f>
        <v>SERVIÇOS COMPLEMENTARES</v>
      </c>
      <c r="D11" s="603" t="n">
        <f aca="false">'Orçamento Resumo'!C9</f>
        <v>5011.68</v>
      </c>
      <c r="E11" s="604" t="n">
        <f aca="false">D11/$D$13</f>
        <v>0.0288787528929576</v>
      </c>
      <c r="F11" s="605" t="n">
        <f aca="false">D11*BDI!D27</f>
        <v>1567.152336</v>
      </c>
      <c r="G11" s="606" t="n">
        <f aca="false">D11+F11</f>
        <v>6578.832336</v>
      </c>
      <c r="H11" s="607"/>
      <c r="I11" s="606" t="n">
        <f aca="false">G11*H11</f>
        <v>0</v>
      </c>
      <c r="J11" s="607"/>
      <c r="K11" s="606" t="n">
        <f aca="false">J11*G11</f>
        <v>0</v>
      </c>
      <c r="L11" s="608"/>
      <c r="M11" s="606" t="n">
        <f aca="false">L11*G11</f>
        <v>0</v>
      </c>
      <c r="N11" s="608"/>
      <c r="O11" s="606" t="n">
        <f aca="false">G11*N11</f>
        <v>0</v>
      </c>
      <c r="P11" s="608"/>
      <c r="Q11" s="606" t="n">
        <f aca="false">G11*P11</f>
        <v>0</v>
      </c>
      <c r="R11" s="607" t="n">
        <v>1</v>
      </c>
      <c r="S11" s="609" t="n">
        <f aca="false">R11*G11</f>
        <v>6578.832336</v>
      </c>
      <c r="U11" s="610" t="n">
        <f aca="false">H11+J11+L11+N11+P11+R11</f>
        <v>1</v>
      </c>
    </row>
    <row r="12" customFormat="false" ht="15.75" hidden="false" customHeight="false" outlineLevel="0" collapsed="false">
      <c r="B12" s="601" t="n">
        <v>6</v>
      </c>
      <c r="C12" s="602" t="str">
        <f aca="false">'Orçamento Resumo'!B10</f>
        <v>ADMINISTRAÇÃO LOCAL</v>
      </c>
      <c r="D12" s="603" t="n">
        <f aca="false">'Orçamento Resumo'!C10</f>
        <v>39737.11</v>
      </c>
      <c r="E12" s="604" t="n">
        <f aca="false">D12/$D$13</f>
        <v>0.228976746394478</v>
      </c>
      <c r="F12" s="605" t="n">
        <f aca="false">D12*BDI!D27</f>
        <v>12425.794297</v>
      </c>
      <c r="G12" s="606" t="n">
        <f aca="false">D12+F12</f>
        <v>52162.904297</v>
      </c>
      <c r="H12" s="611" t="n">
        <v>0.166666666666667</v>
      </c>
      <c r="I12" s="606" t="n">
        <f aca="false">G12*H12</f>
        <v>8693.81738283333</v>
      </c>
      <c r="J12" s="611" t="n">
        <v>0.166666666666667</v>
      </c>
      <c r="K12" s="606" t="n">
        <f aca="false">J12*G12</f>
        <v>8693.81738283333</v>
      </c>
      <c r="L12" s="611" t="n">
        <v>0.166666666666667</v>
      </c>
      <c r="M12" s="606" t="n">
        <f aca="false">L12*G12</f>
        <v>8693.81738283333</v>
      </c>
      <c r="N12" s="611" t="n">
        <v>0.166666666666667</v>
      </c>
      <c r="O12" s="606" t="n">
        <f aca="false">G12*N12</f>
        <v>8693.81738283333</v>
      </c>
      <c r="P12" s="611" t="n">
        <v>0.166666666666667</v>
      </c>
      <c r="Q12" s="606" t="n">
        <f aca="false">G12*P12</f>
        <v>8693.81738283333</v>
      </c>
      <c r="R12" s="611" t="n">
        <v>0.166666666666667</v>
      </c>
      <c r="S12" s="609" t="n">
        <f aca="false">R12*G12</f>
        <v>8693.81738283333</v>
      </c>
      <c r="U12" s="610" t="n">
        <f aca="false">H12+J12+L12+N12+P12+R12</f>
        <v>1</v>
      </c>
    </row>
    <row r="13" customFormat="false" ht="15" hidden="false" customHeight="false" outlineLevel="0" collapsed="false">
      <c r="B13" s="612"/>
      <c r="C13" s="613" t="s">
        <v>640</v>
      </c>
      <c r="D13" s="614" t="n">
        <f aca="false">SUM(D7:D12)</f>
        <v>173542.12</v>
      </c>
      <c r="E13" s="615" t="n">
        <f aca="false">SUM(E7:E12)</f>
        <v>1</v>
      </c>
      <c r="F13" s="614" t="n">
        <f aca="false">SUM(F7:F12)</f>
        <v>54266.620924</v>
      </c>
      <c r="G13" s="614" t="n">
        <f aca="false">SUM(G7:G12)</f>
        <v>227808.740924</v>
      </c>
      <c r="H13" s="616" t="n">
        <f aca="false">I13/G13</f>
        <v>0.157253346718749</v>
      </c>
      <c r="I13" s="617" t="n">
        <f aca="false">SUM(I7:I12)</f>
        <v>35823.6869220833</v>
      </c>
      <c r="J13" s="616" t="n">
        <f aca="false">K13/G13</f>
        <v>0.161336490914521</v>
      </c>
      <c r="K13" s="617" t="n">
        <f aca="false">SUM(K7:K12)</f>
        <v>36753.8628603333</v>
      </c>
      <c r="L13" s="618" t="n">
        <f aca="false">M13/G13</f>
        <v>0.207786689863341</v>
      </c>
      <c r="M13" s="617" t="n">
        <f aca="false">SUM(M7:M12)</f>
        <v>47335.6241985333</v>
      </c>
      <c r="N13" s="618" t="n">
        <f aca="false">O13/G13</f>
        <v>0.207786689863341</v>
      </c>
      <c r="O13" s="617" t="n">
        <f aca="false">SUM(O7:O12)</f>
        <v>47335.6241985333</v>
      </c>
      <c r="P13" s="618" t="n">
        <f aca="false">Q13/G13</f>
        <v>0.168351522769612</v>
      </c>
      <c r="Q13" s="617" t="n">
        <f aca="false">SUM(Q7:Q12)</f>
        <v>38351.9484347833</v>
      </c>
      <c r="R13" s="616" t="n">
        <f aca="false">S13/G13</f>
        <v>0.0974852598704376</v>
      </c>
      <c r="S13" s="619" t="n">
        <f aca="false">SUM(S7:S12)</f>
        <v>22207.9943097333</v>
      </c>
    </row>
    <row r="14" customFormat="false" ht="15.75" hidden="false" customHeight="false" outlineLevel="0" collapsed="false">
      <c r="B14" s="620"/>
      <c r="C14" s="621" t="s">
        <v>641</v>
      </c>
      <c r="D14" s="622"/>
      <c r="E14" s="622"/>
      <c r="F14" s="623"/>
      <c r="G14" s="624"/>
      <c r="H14" s="625" t="n">
        <f aca="false">I14/G13</f>
        <v>0.157253346718749</v>
      </c>
      <c r="I14" s="626" t="n">
        <f aca="false">I13</f>
        <v>35823.6869220833</v>
      </c>
      <c r="J14" s="625" t="n">
        <f aca="false">K14/G13</f>
        <v>0.318589837633269</v>
      </c>
      <c r="K14" s="626" t="n">
        <f aca="false">K13+I14</f>
        <v>72577.5497824167</v>
      </c>
      <c r="L14" s="627" t="n">
        <f aca="false">M14/G13</f>
        <v>0.52637652749661</v>
      </c>
      <c r="M14" s="626" t="n">
        <f aca="false">K14+M13</f>
        <v>119913.17398095</v>
      </c>
      <c r="N14" s="627" t="n">
        <f aca="false">O14/G13</f>
        <v>0.734163217359951</v>
      </c>
      <c r="O14" s="626" t="n">
        <f aca="false">O13+M14</f>
        <v>167248.798179483</v>
      </c>
      <c r="P14" s="627" t="n">
        <f aca="false">Q14/G13</f>
        <v>0.902514740129563</v>
      </c>
      <c r="Q14" s="626" t="n">
        <f aca="false">Q13+O14</f>
        <v>205600.746614267</v>
      </c>
      <c r="R14" s="625" t="n">
        <f aca="false">S14/G13</f>
        <v>1</v>
      </c>
      <c r="S14" s="628" t="n">
        <f aca="false">Q14+S13</f>
        <v>227808.740924</v>
      </c>
    </row>
  </sheetData>
  <mergeCells count="14">
    <mergeCell ref="C2:S3"/>
    <mergeCell ref="C4:S4"/>
    <mergeCell ref="B5:B6"/>
    <mergeCell ref="C5:C6"/>
    <mergeCell ref="D5:D6"/>
    <mergeCell ref="E5:E6"/>
    <mergeCell ref="F5:F6"/>
    <mergeCell ref="G5:G6"/>
    <mergeCell ref="H5:I5"/>
    <mergeCell ref="J5:K5"/>
    <mergeCell ref="L5:M5"/>
    <mergeCell ref="N5:O5"/>
    <mergeCell ref="P5:Q5"/>
    <mergeCell ref="R5:S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P66"/>
  <sheetViews>
    <sheetView showFormulas="false" showGridLines="true" showRowColHeaders="true" showZeros="true" rightToLeft="false" tabSelected="false" showOutlineSymbols="true" defaultGridColor="true" view="normal" topLeftCell="A20" colorId="64" zoomScale="60" zoomScaleNormal="60" zoomScalePageLayoutView="100" workbookViewId="0">
      <selection pane="topLeft" activeCell="A33" activeCellId="0" sqref="A33"/>
    </sheetView>
  </sheetViews>
  <sheetFormatPr defaultRowHeight="1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2" width="17.29"/>
    <col collapsed="false" customWidth="true" hidden="false" outlineLevel="0" max="3" min="3" style="3" width="87.86"/>
    <col collapsed="false" customWidth="true" hidden="false" outlineLevel="0" max="4" min="4" style="0" width="17.71"/>
    <col collapsed="false" customWidth="true" hidden="false" outlineLevel="0" max="7" min="5" style="6" width="17.71"/>
    <col collapsed="false" customWidth="true" hidden="false" outlineLevel="0" max="1025" min="8" style="6" width="9.14"/>
  </cols>
  <sheetData>
    <row r="1" s="8" customFormat="true" ht="15" hidden="false" customHeight="true" outlineLevel="0" collapsed="false">
      <c r="A1" s="629" t="s">
        <v>642</v>
      </c>
      <c r="B1" s="629"/>
      <c r="C1" s="629"/>
      <c r="D1" s="629"/>
      <c r="E1" s="629"/>
      <c r="F1" s="629"/>
      <c r="G1" s="629"/>
    </row>
    <row r="2" s="8" customFormat="true" ht="59.25" hidden="false" customHeight="true" outlineLevel="0" collapsed="false">
      <c r="A2" s="629"/>
      <c r="B2" s="629"/>
      <c r="C2" s="629"/>
      <c r="D2" s="629"/>
      <c r="E2" s="629"/>
      <c r="F2" s="629"/>
      <c r="G2" s="629"/>
    </row>
    <row r="3" s="8" customFormat="true" ht="15" hidden="false" customHeight="true" outlineLevel="0" collapsed="false">
      <c r="A3" s="630" t="s">
        <v>1</v>
      </c>
      <c r="B3" s="631" t="s">
        <v>643</v>
      </c>
      <c r="C3" s="631"/>
      <c r="D3" s="631"/>
      <c r="E3" s="631"/>
      <c r="F3" s="631"/>
      <c r="G3" s="631"/>
    </row>
    <row r="4" s="8" customFormat="true" ht="15" hidden="false" customHeight="true" outlineLevel="0" collapsed="false">
      <c r="A4" s="632" t="s">
        <v>3</v>
      </c>
      <c r="B4" s="633" t="s">
        <v>4</v>
      </c>
      <c r="C4" s="633"/>
      <c r="D4" s="633"/>
      <c r="E4" s="633"/>
      <c r="F4" s="633"/>
      <c r="G4" s="633"/>
    </row>
    <row r="5" s="17" customFormat="true" ht="15.75" hidden="false" customHeight="true" outlineLevel="0" collapsed="false">
      <c r="A5" s="634" t="s">
        <v>5</v>
      </c>
      <c r="B5" s="635" t="s">
        <v>6</v>
      </c>
      <c r="C5" s="635"/>
      <c r="D5" s="635"/>
      <c r="E5" s="635"/>
      <c r="F5" s="635"/>
      <c r="G5" s="635"/>
      <c r="H5" s="8"/>
      <c r="I5" s="8"/>
      <c r="J5" s="8"/>
      <c r="K5" s="8"/>
      <c r="L5" s="8"/>
    </row>
    <row r="6" s="17" customFormat="true" ht="15.75" hidden="false" customHeight="true" outlineLevel="0" collapsed="false">
      <c r="A6" s="636" t="s">
        <v>644</v>
      </c>
      <c r="B6" s="636"/>
      <c r="C6" s="636"/>
      <c r="D6" s="636"/>
      <c r="E6" s="636"/>
      <c r="F6" s="636"/>
      <c r="G6" s="637" t="n">
        <f aca="false">'Orçamento Sintético'!G64</f>
        <v>173542.12</v>
      </c>
      <c r="H6" s="8"/>
      <c r="I6" s="8"/>
      <c r="J6" s="8"/>
      <c r="K6" s="8"/>
      <c r="L6" s="8"/>
    </row>
    <row r="7" s="17" customFormat="true" ht="15" hidden="false" customHeight="true" outlineLevel="0" collapsed="false">
      <c r="A7" s="638" t="s">
        <v>645</v>
      </c>
      <c r="B7" s="638"/>
      <c r="C7" s="638"/>
      <c r="D7" s="639" t="s">
        <v>646</v>
      </c>
      <c r="E7" s="639" t="s">
        <v>647</v>
      </c>
      <c r="F7" s="639" t="s">
        <v>648</v>
      </c>
      <c r="G7" s="640" t="s">
        <v>649</v>
      </c>
      <c r="H7" s="8"/>
      <c r="I7" s="8"/>
      <c r="J7" s="8"/>
      <c r="K7" s="8"/>
      <c r="L7" s="8"/>
    </row>
    <row r="8" s="17" customFormat="true" ht="15" hidden="false" customHeight="false" outlineLevel="0" collapsed="false">
      <c r="A8" s="638"/>
      <c r="B8" s="638"/>
      <c r="C8" s="638"/>
      <c r="D8" s="641" t="s">
        <v>650</v>
      </c>
      <c r="E8" s="642" t="n">
        <v>0.8</v>
      </c>
      <c r="F8" s="642" t="n">
        <f aca="false">COUNTIF(G12:G53,D8)/COUNTA(G12:G53)</f>
        <v>0.30952380952381</v>
      </c>
      <c r="G8" s="643" t="n">
        <f aca="false">SUMIF(G12:G53,D8,E12:E53)</f>
        <v>0.792195635272866</v>
      </c>
      <c r="H8" s="8"/>
      <c r="I8" s="8"/>
      <c r="J8" s="8"/>
      <c r="K8" s="8"/>
      <c r="L8" s="8"/>
    </row>
    <row r="9" s="17" customFormat="true" ht="15" hidden="false" customHeight="false" outlineLevel="0" collapsed="false">
      <c r="A9" s="638"/>
      <c r="B9" s="638"/>
      <c r="C9" s="638"/>
      <c r="D9" s="641" t="s">
        <v>651</v>
      </c>
      <c r="E9" s="642" t="n">
        <v>0.95</v>
      </c>
      <c r="F9" s="642" t="n">
        <f aca="false">COUNTIF(G12:G53,D9)/COUNTA(G12:G53)</f>
        <v>0.285714285714286</v>
      </c>
      <c r="G9" s="643" t="n">
        <f aca="false">SUMIF(G12:G53,D9,E12:E53)</f>
        <v>0.153008445442524</v>
      </c>
      <c r="H9" s="8"/>
      <c r="I9" s="8"/>
      <c r="J9" s="8"/>
      <c r="K9" s="8"/>
      <c r="L9" s="8"/>
    </row>
    <row r="10" s="17" customFormat="true" ht="15.75" hidden="false" customHeight="false" outlineLevel="0" collapsed="false">
      <c r="A10" s="638"/>
      <c r="B10" s="638"/>
      <c r="C10" s="638"/>
      <c r="D10" s="644" t="s">
        <v>652</v>
      </c>
      <c r="E10" s="645" t="n">
        <v>1</v>
      </c>
      <c r="F10" s="646" t="n">
        <f aca="false">COUNTIF(G12:G53,D10)/COUNTA(G12:G53)</f>
        <v>0.404761904761905</v>
      </c>
      <c r="G10" s="647" t="n">
        <f aca="false">SUMIF(G12:G53,D10,E12:E53)</f>
        <v>0.051070368392411</v>
      </c>
      <c r="H10" s="8"/>
      <c r="I10" s="8"/>
      <c r="J10" s="8"/>
      <c r="K10" s="8"/>
      <c r="L10" s="8"/>
    </row>
    <row r="11" s="17" customFormat="true" ht="26.25" hidden="false" customHeight="false" outlineLevel="0" collapsed="false">
      <c r="A11" s="648" t="s">
        <v>8</v>
      </c>
      <c r="B11" s="649" t="s">
        <v>9</v>
      </c>
      <c r="C11" s="650" t="s">
        <v>10</v>
      </c>
      <c r="D11" s="651" t="s">
        <v>653</v>
      </c>
      <c r="E11" s="651" t="s">
        <v>654</v>
      </c>
      <c r="F11" s="651" t="s">
        <v>655</v>
      </c>
      <c r="G11" s="652" t="s">
        <v>646</v>
      </c>
      <c r="H11" s="8"/>
      <c r="I11" s="8"/>
      <c r="J11" s="8"/>
      <c r="K11" s="8"/>
      <c r="L11" s="8"/>
    </row>
    <row r="12" s="8" customFormat="true" ht="35.25" hidden="false" customHeight="true" outlineLevel="0" collapsed="false">
      <c r="A12" s="653" t="s">
        <v>79</v>
      </c>
      <c r="B12" s="654" t="s">
        <v>559</v>
      </c>
      <c r="C12" s="655" t="s">
        <v>560</v>
      </c>
      <c r="D12" s="656" t="n">
        <v>36952.44</v>
      </c>
      <c r="E12" s="657" t="n">
        <f aca="false">D12/$G$6</f>
        <v>0.212930670663698</v>
      </c>
      <c r="F12" s="657" t="n">
        <f aca="false">E12</f>
        <v>0.212930670663698</v>
      </c>
      <c r="G12" s="658" t="str">
        <f aca="false">IF(F12&lt;$E$8,$D$8,IF(F12&lt;$E$9,$D$9,$D$10))</f>
        <v>A</v>
      </c>
    </row>
    <row r="13" s="8" customFormat="true" ht="35.25" hidden="false" customHeight="true" outlineLevel="0" collapsed="false">
      <c r="A13" s="659" t="s">
        <v>51</v>
      </c>
      <c r="B13" s="660" t="s">
        <v>444</v>
      </c>
      <c r="C13" s="661" t="s">
        <v>445</v>
      </c>
      <c r="D13" s="662" t="n">
        <v>29220.18</v>
      </c>
      <c r="E13" s="663" t="n">
        <f aca="false">D13/$G$6</f>
        <v>0.168375147197695</v>
      </c>
      <c r="F13" s="663" t="n">
        <f aca="false">F12+E13</f>
        <v>0.381305817861393</v>
      </c>
      <c r="G13" s="664" t="str">
        <f aca="false">IF(F13&lt;$E$8,$D$8,IF(F13&lt;$E$9,$D$9,$D$10))</f>
        <v>A</v>
      </c>
    </row>
    <row r="14" s="8" customFormat="true" ht="35.25" hidden="false" customHeight="true" outlineLevel="0" collapsed="false">
      <c r="A14" s="659" t="s">
        <v>41</v>
      </c>
      <c r="B14" s="660" t="s">
        <v>382</v>
      </c>
      <c r="C14" s="661" t="s">
        <v>383</v>
      </c>
      <c r="D14" s="662" t="n">
        <v>14424.6</v>
      </c>
      <c r="E14" s="663" t="n">
        <f aca="false">D14/$G$6</f>
        <v>0.0831187264509619</v>
      </c>
      <c r="F14" s="663" t="n">
        <f aca="false">F13+E14</f>
        <v>0.464424544312355</v>
      </c>
      <c r="G14" s="664" t="str">
        <f aca="false">IF(F14&lt;$E$8,$D$8,IF(F14&lt;$E$9,$D$9,$D$10))</f>
        <v>A</v>
      </c>
    </row>
    <row r="15" s="8" customFormat="true" ht="35.25" hidden="false" customHeight="true" outlineLevel="0" collapsed="false">
      <c r="A15" s="659" t="s">
        <v>67</v>
      </c>
      <c r="B15" s="660" t="s">
        <v>539</v>
      </c>
      <c r="C15" s="661" t="s">
        <v>540</v>
      </c>
      <c r="D15" s="662" t="n">
        <v>11249.69</v>
      </c>
      <c r="E15" s="663" t="n">
        <f aca="false">D15/$G$6</f>
        <v>0.0648239747215258</v>
      </c>
      <c r="F15" s="663" t="n">
        <f aca="false">F14+E15</f>
        <v>0.529248519033881</v>
      </c>
      <c r="G15" s="664" t="str">
        <f aca="false">IF(F15&lt;$E$8,$D$8,IF(F15&lt;$E$9,$D$9,$D$10))</f>
        <v>A</v>
      </c>
    </row>
    <row r="16" s="8" customFormat="true" ht="35.25" hidden="false" customHeight="true" outlineLevel="0" collapsed="false">
      <c r="A16" s="659" t="s">
        <v>53</v>
      </c>
      <c r="B16" s="660" t="s">
        <v>458</v>
      </c>
      <c r="C16" s="661" t="s">
        <v>459</v>
      </c>
      <c r="D16" s="662" t="n">
        <v>9585.73</v>
      </c>
      <c r="E16" s="663" t="n">
        <f aca="false">D16/$G$6</f>
        <v>0.055235754870345</v>
      </c>
      <c r="F16" s="663" t="n">
        <f aca="false">F15+E16</f>
        <v>0.584484273904226</v>
      </c>
      <c r="G16" s="664" t="str">
        <f aca="false">IF(F16&lt;$E$8,$D$8,IF(F16&lt;$E$9,$D$9,$D$10))</f>
        <v>A</v>
      </c>
    </row>
    <row r="17" s="8" customFormat="true" ht="35.25" hidden="false" customHeight="true" outlineLevel="0" collapsed="false">
      <c r="A17" s="659" t="s">
        <v>40</v>
      </c>
      <c r="B17" s="660" t="s">
        <v>376</v>
      </c>
      <c r="C17" s="661" t="s">
        <v>377</v>
      </c>
      <c r="D17" s="662" t="n">
        <v>7134.62</v>
      </c>
      <c r="E17" s="663" t="n">
        <f aca="false">D17/$G$6</f>
        <v>0.0411117485484216</v>
      </c>
      <c r="F17" s="663" t="n">
        <f aca="false">F16+E17</f>
        <v>0.625596022452647</v>
      </c>
      <c r="G17" s="664" t="str">
        <f aca="false">IF(F17&lt;$E$8,$D$8,IF(F17&lt;$E$9,$D$9,$D$10))</f>
        <v>A</v>
      </c>
    </row>
    <row r="18" s="8" customFormat="true" ht="35.25" hidden="false" customHeight="true" outlineLevel="0" collapsed="false">
      <c r="A18" s="659" t="s">
        <v>50</v>
      </c>
      <c r="B18" s="660" t="s">
        <v>438</v>
      </c>
      <c r="C18" s="661" t="s">
        <v>439</v>
      </c>
      <c r="D18" s="662" t="n">
        <v>5397.74</v>
      </c>
      <c r="E18" s="663" t="n">
        <f aca="false">D18/$G$6</f>
        <v>0.03110334251996</v>
      </c>
      <c r="F18" s="663" t="n">
        <f aca="false">F17+E18</f>
        <v>0.656699364972607</v>
      </c>
      <c r="G18" s="664" t="str">
        <f aca="false">IF(F18&lt;$E$8,$D$8,IF(F18&lt;$E$9,$D$9,$D$10))</f>
        <v>A</v>
      </c>
    </row>
    <row r="19" customFormat="false" ht="35.25" hidden="false" customHeight="true" outlineLevel="0" collapsed="false">
      <c r="A19" s="659" t="s">
        <v>39</v>
      </c>
      <c r="B19" s="660" t="s">
        <v>362</v>
      </c>
      <c r="C19" s="661" t="s">
        <v>363</v>
      </c>
      <c r="D19" s="662" t="n">
        <v>5128.46</v>
      </c>
      <c r="E19" s="663" t="n">
        <f aca="false">D19/$G$6</f>
        <v>0.0295516731039128</v>
      </c>
      <c r="F19" s="663" t="n">
        <f aca="false">F18+E19</f>
        <v>0.68625103807652</v>
      </c>
      <c r="G19" s="664" t="str">
        <f aca="false">IF(F19&lt;$E$8,$D$8,IF(F19&lt;$E$9,$D$9,$D$10))</f>
        <v>A</v>
      </c>
    </row>
    <row r="20" customFormat="false" ht="35.25" hidden="false" customHeight="true" outlineLevel="0" collapsed="false">
      <c r="A20" s="659" t="s">
        <v>31</v>
      </c>
      <c r="B20" s="660" t="s">
        <v>589</v>
      </c>
      <c r="C20" s="661" t="s">
        <v>590</v>
      </c>
      <c r="D20" s="662" t="n">
        <v>4107.71</v>
      </c>
      <c r="E20" s="663" t="n">
        <f aca="false">D20/$G$6</f>
        <v>0.0236698157196651</v>
      </c>
      <c r="F20" s="663" t="n">
        <f aca="false">F19+E20</f>
        <v>0.709920853796185</v>
      </c>
      <c r="G20" s="664" t="str">
        <f aca="false">IF(F20&lt;$E$8,$D$8,IF(F20&lt;$E$9,$D$9,$D$10))</f>
        <v>A</v>
      </c>
    </row>
    <row r="21" customFormat="false" ht="35.25" hidden="false" customHeight="true" outlineLevel="0" collapsed="false">
      <c r="A21" s="659" t="s">
        <v>43</v>
      </c>
      <c r="B21" s="660" t="s">
        <v>397</v>
      </c>
      <c r="C21" s="661" t="s">
        <v>398</v>
      </c>
      <c r="D21" s="662" t="n">
        <v>3930.5</v>
      </c>
      <c r="E21" s="663" t="n">
        <f aca="false">D21/$G$6</f>
        <v>0.0226486803318987</v>
      </c>
      <c r="F21" s="663" t="n">
        <f aca="false">F20+E21</f>
        <v>0.732569534128084</v>
      </c>
      <c r="G21" s="664" t="str">
        <f aca="false">IF(F21&lt;$E$8,$D$8,IF(F21&lt;$E$9,$D$9,$D$10))</f>
        <v>A</v>
      </c>
    </row>
    <row r="22" customFormat="false" ht="35.25" hidden="false" customHeight="true" outlineLevel="0" collapsed="false">
      <c r="A22" s="659" t="s">
        <v>28</v>
      </c>
      <c r="B22" s="660" t="s">
        <v>577</v>
      </c>
      <c r="C22" s="661" t="s">
        <v>578</v>
      </c>
      <c r="D22" s="662" t="n">
        <v>3586.47</v>
      </c>
      <c r="E22" s="663" t="n">
        <f aca="false">D22/$G$6</f>
        <v>0.0206662797481096</v>
      </c>
      <c r="F22" s="663" t="n">
        <f aca="false">F21+E22</f>
        <v>0.753235813876193</v>
      </c>
      <c r="G22" s="664" t="str">
        <f aca="false">IF(F22&lt;$E$8,$D$8,IF(F22&lt;$E$9,$D$9,$D$10))</f>
        <v>A</v>
      </c>
    </row>
    <row r="23" customFormat="false" ht="35.25" hidden="false" customHeight="true" outlineLevel="0" collapsed="false">
      <c r="A23" s="659" t="s">
        <v>55</v>
      </c>
      <c r="B23" s="660" t="s">
        <v>481</v>
      </c>
      <c r="C23" s="661" t="s">
        <v>482</v>
      </c>
      <c r="D23" s="662" t="n">
        <v>3435.58</v>
      </c>
      <c r="E23" s="663" t="n">
        <f aca="false">D23/$G$6</f>
        <v>0.0197968078297073</v>
      </c>
      <c r="F23" s="663" t="n">
        <f aca="false">F22+E23</f>
        <v>0.773032621705901</v>
      </c>
      <c r="G23" s="664" t="str">
        <f aca="false">IF(F23&lt;$E$8,$D$8,IF(F23&lt;$E$9,$D$9,$D$10))</f>
        <v>A</v>
      </c>
    </row>
    <row r="24" customFormat="false" ht="35.25" hidden="false" customHeight="true" outlineLevel="0" collapsed="false">
      <c r="A24" s="659" t="s">
        <v>48</v>
      </c>
      <c r="B24" s="660" t="s">
        <v>429</v>
      </c>
      <c r="C24" s="661" t="s">
        <v>430</v>
      </c>
      <c r="D24" s="662" t="n">
        <v>3325.59</v>
      </c>
      <c r="E24" s="663" t="n">
        <f aca="false">D24/$G$6</f>
        <v>0.0191630135669658</v>
      </c>
      <c r="F24" s="663" t="n">
        <f aca="false">F23+E24</f>
        <v>0.792195635272866</v>
      </c>
      <c r="G24" s="664" t="str">
        <f aca="false">IF(F24&lt;$E$8,$D$8,IF(F24&lt;$E$9,$D$9,$D$10))</f>
        <v>A</v>
      </c>
    </row>
    <row r="25" s="65" customFormat="true" ht="35.25" hidden="false" customHeight="true" outlineLevel="0" collapsed="false">
      <c r="A25" s="659" t="s">
        <v>56</v>
      </c>
      <c r="B25" s="660" t="s">
        <v>486</v>
      </c>
      <c r="C25" s="661" t="s">
        <v>487</v>
      </c>
      <c r="D25" s="662" t="n">
        <v>3307.88</v>
      </c>
      <c r="E25" s="663" t="n">
        <f aca="false">D25/$G$6</f>
        <v>0.0190609634133777</v>
      </c>
      <c r="F25" s="663" t="n">
        <f aca="false">F24+E25</f>
        <v>0.811256598686244</v>
      </c>
      <c r="G25" s="664" t="str">
        <f aca="false">IF(F25&lt;$E$8,$D$8,IF(F25&lt;$E$9,$D$9,$D$10))</f>
        <v>B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="65" customFormat="true" ht="35.25" hidden="false" customHeight="true" outlineLevel="0" collapsed="false">
      <c r="A26" s="659" t="s">
        <v>18</v>
      </c>
      <c r="B26" s="660" t="s">
        <v>303</v>
      </c>
      <c r="C26" s="661" t="s">
        <v>304</v>
      </c>
      <c r="D26" s="662" t="n">
        <v>2814.36</v>
      </c>
      <c r="E26" s="663" t="n">
        <f aca="false">D26/$G$6</f>
        <v>0.0162171581170035</v>
      </c>
      <c r="F26" s="663" t="n">
        <f aca="false">F25+E26</f>
        <v>0.827473756803247</v>
      </c>
      <c r="G26" s="664" t="str">
        <f aca="false">IF(F26&lt;$E$8,$D$8,IF(F26&lt;$E$9,$D$9,$D$10))</f>
        <v>B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customFormat="false" ht="35.25" hidden="false" customHeight="true" outlineLevel="0" collapsed="false">
      <c r="A27" s="659" t="s">
        <v>42</v>
      </c>
      <c r="B27" s="660" t="s">
        <v>390</v>
      </c>
      <c r="C27" s="661" t="s">
        <v>391</v>
      </c>
      <c r="D27" s="662" t="n">
        <v>2781.49</v>
      </c>
      <c r="E27" s="663" t="n">
        <f aca="false">D27/$G$6</f>
        <v>0.0160277516489945</v>
      </c>
      <c r="F27" s="663" t="n">
        <f aca="false">F26+E27</f>
        <v>0.843501508452242</v>
      </c>
      <c r="G27" s="664" t="str">
        <f aca="false">IF(F27&lt;$E$8,$D$8,IF(F27&lt;$E$9,$D$9,$D$10))</f>
        <v>B</v>
      </c>
    </row>
    <row r="28" customFormat="false" ht="35.25" hidden="false" customHeight="true" outlineLevel="0" collapsed="false">
      <c r="A28" s="659" t="s">
        <v>33</v>
      </c>
      <c r="B28" s="660" t="s">
        <v>326</v>
      </c>
      <c r="C28" s="661" t="s">
        <v>327</v>
      </c>
      <c r="D28" s="662" t="n">
        <v>2657.99</v>
      </c>
      <c r="E28" s="663" t="n">
        <f aca="false">D28/$G$6</f>
        <v>0.0153161088501166</v>
      </c>
      <c r="F28" s="663" t="n">
        <f aca="false">F27+E28</f>
        <v>0.858817617302359</v>
      </c>
      <c r="G28" s="664" t="str">
        <f aca="false">IF(F28&lt;$E$8,$D$8,IF(F28&lt;$E$9,$D$9,$D$10))</f>
        <v>B</v>
      </c>
    </row>
    <row r="29" customFormat="false" ht="35.25" hidden="false" customHeight="true" outlineLevel="0" collapsed="false">
      <c r="A29" s="659" t="s">
        <v>38</v>
      </c>
      <c r="B29" s="660" t="s">
        <v>353</v>
      </c>
      <c r="C29" s="661" t="s">
        <v>354</v>
      </c>
      <c r="D29" s="662" t="n">
        <v>2593.92</v>
      </c>
      <c r="E29" s="663" t="n">
        <f aca="false">D29/$G$6</f>
        <v>0.0149469189381805</v>
      </c>
      <c r="F29" s="663" t="n">
        <f aca="false">F28+E29</f>
        <v>0.873764536240539</v>
      </c>
      <c r="G29" s="664" t="str">
        <f aca="false">IF(F29&lt;$E$8,$D$8,IF(F29&lt;$E$9,$D$9,$D$10))</f>
        <v>B</v>
      </c>
    </row>
    <row r="30" customFormat="false" ht="35.25" hidden="false" customHeight="true" outlineLevel="0" collapsed="false">
      <c r="A30" s="659" t="s">
        <v>30</v>
      </c>
      <c r="B30" s="660" t="s">
        <v>572</v>
      </c>
      <c r="C30" s="661" t="s">
        <v>573</v>
      </c>
      <c r="D30" s="662" t="n">
        <v>2478.55</v>
      </c>
      <c r="E30" s="663" t="n">
        <f aca="false">D30/$G$6</f>
        <v>0.0142821235559413</v>
      </c>
      <c r="F30" s="663" t="n">
        <f aca="false">F29+E30</f>
        <v>0.888046659796481</v>
      </c>
      <c r="G30" s="664" t="str">
        <f aca="false">IF(F30&lt;$E$8,$D$8,IF(F30&lt;$E$9,$D$9,$D$10))</f>
        <v>B</v>
      </c>
    </row>
    <row r="31" customFormat="false" ht="35.25" hidden="false" customHeight="true" outlineLevel="0" collapsed="false">
      <c r="A31" s="659" t="s">
        <v>29</v>
      </c>
      <c r="B31" s="660" t="s">
        <v>567</v>
      </c>
      <c r="C31" s="661" t="s">
        <v>568</v>
      </c>
      <c r="D31" s="662" t="n">
        <v>2049.91</v>
      </c>
      <c r="E31" s="663" t="n">
        <f aca="false">D31/$G$6</f>
        <v>0.0118121756262975</v>
      </c>
      <c r="F31" s="663" t="n">
        <f aca="false">F30+E31</f>
        <v>0.899858835422778</v>
      </c>
      <c r="G31" s="664" t="str">
        <f aca="false">IF(F31&lt;$E$8,$D$8,IF(F31&lt;$E$9,$D$9,$D$10))</f>
        <v>B</v>
      </c>
    </row>
    <row r="32" customFormat="false" ht="45" hidden="false" customHeight="false" outlineLevel="0" collapsed="false">
      <c r="A32" s="659" t="s">
        <v>75</v>
      </c>
      <c r="B32" s="660" t="s">
        <v>594</v>
      </c>
      <c r="C32" s="661" t="s">
        <v>76</v>
      </c>
      <c r="D32" s="662" t="n">
        <v>1840</v>
      </c>
      <c r="E32" s="663" t="n">
        <f aca="false">D32/$G$6</f>
        <v>0.0106026133597999</v>
      </c>
      <c r="F32" s="663" t="n">
        <f aca="false">F31+E32</f>
        <v>0.910461448782578</v>
      </c>
      <c r="G32" s="664" t="str">
        <f aca="false">IF(F32&lt;$E$8,$D$8,IF(F32&lt;$E$9,$D$9,$D$10))</f>
        <v>B</v>
      </c>
    </row>
    <row r="33" s="65" customFormat="true" ht="35.25" hidden="false" customHeight="true" outlineLevel="0" collapsed="false">
      <c r="A33" s="659" t="s">
        <v>16</v>
      </c>
      <c r="B33" s="660" t="s">
        <v>277</v>
      </c>
      <c r="C33" s="661" t="s">
        <v>278</v>
      </c>
      <c r="D33" s="662" t="n">
        <v>1670.14</v>
      </c>
      <c r="E33" s="663" t="n">
        <f aca="false">D33/$G$6</f>
        <v>0.00962383080257404</v>
      </c>
      <c r="F33" s="663" t="n">
        <f aca="false">F32+E33</f>
        <v>0.920085279585152</v>
      </c>
      <c r="G33" s="664" t="str">
        <f aca="false">IF(F33&lt;$E$8,$D$8,IF(F33&lt;$E$9,$D$9,$D$10))</f>
        <v>B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="65" customFormat="true" ht="35.25" hidden="false" customHeight="true" outlineLevel="0" collapsed="false">
      <c r="A34" s="659" t="s">
        <v>71</v>
      </c>
      <c r="B34" s="660" t="s">
        <v>584</v>
      </c>
      <c r="C34" s="661" t="s">
        <v>585</v>
      </c>
      <c r="D34" s="662" t="n">
        <v>1550.43</v>
      </c>
      <c r="E34" s="663" t="n">
        <f aca="false">D34/$G$6</f>
        <v>0.0089340270823014</v>
      </c>
      <c r="F34" s="663" t="n">
        <f aca="false">F33+E34</f>
        <v>0.929019306667454</v>
      </c>
      <c r="G34" s="664" t="str">
        <f aca="false">IF(F34&lt;$E$8,$D$8,IF(F34&lt;$E$9,$D$9,$D$10))</f>
        <v>B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="65" customFormat="true" ht="35.25" hidden="false" customHeight="true" outlineLevel="0" collapsed="false">
      <c r="A35" s="659" t="s">
        <v>83</v>
      </c>
      <c r="B35" s="660" t="s">
        <v>81</v>
      </c>
      <c r="C35" s="661" t="s">
        <v>84</v>
      </c>
      <c r="D35" s="662" t="n">
        <v>1490</v>
      </c>
      <c r="E35" s="663" t="n">
        <f aca="false">D35/$G$6</f>
        <v>0.00858581190549015</v>
      </c>
      <c r="F35" s="663" t="n">
        <f aca="false">F34+E35</f>
        <v>0.937605118572944</v>
      </c>
      <c r="G35" s="664" t="str">
        <f aca="false">IF(F35&lt;$E$8,$D$8,IF(F35&lt;$E$9,$D$9,$D$10))</f>
        <v>B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="65" customFormat="true" ht="35.25" hidden="false" customHeight="true" outlineLevel="0" collapsed="false">
      <c r="A36" s="659" t="s">
        <v>57</v>
      </c>
      <c r="B36" s="660" t="s">
        <v>493</v>
      </c>
      <c r="C36" s="661" t="s">
        <v>494</v>
      </c>
      <c r="D36" s="662" t="n">
        <v>1318.74</v>
      </c>
      <c r="E36" s="663" t="n">
        <f aca="false">D36/$G$6</f>
        <v>0.00759896214244703</v>
      </c>
      <c r="F36" s="663" t="n">
        <f aca="false">F35+E36</f>
        <v>0.945204080715391</v>
      </c>
      <c r="G36" s="664" t="str">
        <f aca="false">IF(F36&lt;$E$8,$D$8,IF(F36&lt;$E$9,$D$9,$D$10))</f>
        <v>B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customFormat="false" ht="35.25" hidden="false" customHeight="true" outlineLevel="0" collapsed="false">
      <c r="A37" s="659" t="s">
        <v>64</v>
      </c>
      <c r="B37" s="660" t="s">
        <v>529</v>
      </c>
      <c r="C37" s="661" t="s">
        <v>530</v>
      </c>
      <c r="D37" s="662" t="n">
        <v>1303.11</v>
      </c>
      <c r="E37" s="663" t="n">
        <f aca="false">D37/$G$6</f>
        <v>0.00750889755178743</v>
      </c>
      <c r="F37" s="663" t="n">
        <f aca="false">F36+E37</f>
        <v>0.952712978267178</v>
      </c>
      <c r="G37" s="664" t="str">
        <f aca="false">IF(F37&lt;$E$8,$D$8,IF(F37&lt;$E$9,$D$9,$D$10))</f>
        <v>C</v>
      </c>
    </row>
    <row r="38" customFormat="false" ht="35.25" hidden="false" customHeight="true" outlineLevel="0" collapsed="false">
      <c r="A38" s="659" t="s">
        <v>80</v>
      </c>
      <c r="B38" s="660" t="s">
        <v>81</v>
      </c>
      <c r="C38" s="661" t="s">
        <v>82</v>
      </c>
      <c r="D38" s="662" t="n">
        <v>1126.67</v>
      </c>
      <c r="E38" s="663" t="n">
        <f aca="false">D38/$G$6</f>
        <v>0.00649219912722053</v>
      </c>
      <c r="F38" s="663" t="n">
        <f aca="false">F37+E38</f>
        <v>0.959205177394399</v>
      </c>
      <c r="G38" s="664" t="str">
        <f aca="false">IF(F38&lt;$E$8,$D$8,IF(F38&lt;$E$9,$D$9,$D$10))</f>
        <v>C</v>
      </c>
    </row>
    <row r="39" s="65" customFormat="true" ht="35.25" hidden="false" customHeight="true" outlineLevel="0" collapsed="false">
      <c r="A39" s="659" t="s">
        <v>34</v>
      </c>
      <c r="B39" s="660" t="s">
        <v>335</v>
      </c>
      <c r="C39" s="661" t="s">
        <v>336</v>
      </c>
      <c r="D39" s="662" t="n">
        <v>1105.98</v>
      </c>
      <c r="E39" s="663" t="n">
        <f aca="false">D39/$G$6</f>
        <v>0.00637297734982147</v>
      </c>
      <c r="F39" s="663" t="n">
        <f aca="false">F38+E39</f>
        <v>0.96557815474422</v>
      </c>
      <c r="G39" s="664" t="str">
        <f aca="false">IF(F39&lt;$E$8,$D$8,IF(F39&lt;$E$9,$D$9,$D$10))</f>
        <v>C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</row>
    <row r="40" customFormat="false" ht="35.25" hidden="false" customHeight="true" outlineLevel="0" collapsed="false">
      <c r="A40" s="659" t="s">
        <v>44</v>
      </c>
      <c r="B40" s="660" t="s">
        <v>408</v>
      </c>
      <c r="C40" s="661" t="s">
        <v>409</v>
      </c>
      <c r="D40" s="662" t="n">
        <v>808.19</v>
      </c>
      <c r="E40" s="663" t="n">
        <f aca="false">D40/$G$6</f>
        <v>0.00465702504959603</v>
      </c>
      <c r="F40" s="663" t="n">
        <f aca="false">F39+E40</f>
        <v>0.970235179793816</v>
      </c>
      <c r="G40" s="664" t="str">
        <f aca="false">IF(F40&lt;$E$8,$D$8,IF(F40&lt;$E$9,$D$9,$D$10))</f>
        <v>C</v>
      </c>
    </row>
    <row r="41" s="65" customFormat="true" ht="35.25" hidden="false" customHeight="true" outlineLevel="0" collapsed="false">
      <c r="A41" s="659" t="s">
        <v>36</v>
      </c>
      <c r="B41" s="660" t="s">
        <v>344</v>
      </c>
      <c r="C41" s="661" t="s">
        <v>345</v>
      </c>
      <c r="D41" s="662" t="n">
        <v>565.33</v>
      </c>
      <c r="E41" s="663" t="n">
        <f aca="false">D41/$G$6</f>
        <v>0.00325759533189983</v>
      </c>
      <c r="F41" s="663" t="n">
        <f aca="false">F40+E41</f>
        <v>0.973492775125716</v>
      </c>
      <c r="G41" s="664" t="str">
        <f aca="false">IF(F41&lt;$E$8,$D$8,IF(F41&lt;$E$9,$D$9,$D$10))</f>
        <v>C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</row>
    <row r="42" s="65" customFormat="true" ht="35.25" hidden="false" customHeight="true" outlineLevel="0" collapsed="false">
      <c r="A42" s="659" t="s">
        <v>52</v>
      </c>
      <c r="B42" s="660" t="s">
        <v>455</v>
      </c>
      <c r="C42" s="661" t="s">
        <v>456</v>
      </c>
      <c r="D42" s="662" t="n">
        <v>545.36</v>
      </c>
      <c r="E42" s="663" t="n">
        <f aca="false">D42/$G$6</f>
        <v>0.00314252240320678</v>
      </c>
      <c r="F42" s="663" t="n">
        <f aca="false">F41+E42</f>
        <v>0.976635297528923</v>
      </c>
      <c r="G42" s="664" t="str">
        <f aca="false">IF(F42&lt;$E$8,$D$8,IF(F42&lt;$E$9,$D$9,$D$10))</f>
        <v>C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</row>
    <row r="43" s="65" customFormat="true" ht="35.25" hidden="false" customHeight="true" outlineLevel="0" collapsed="false">
      <c r="A43" s="659" t="s">
        <v>54</v>
      </c>
      <c r="B43" s="660" t="s">
        <v>476</v>
      </c>
      <c r="C43" s="661" t="s">
        <v>477</v>
      </c>
      <c r="D43" s="662" t="n">
        <v>492.84</v>
      </c>
      <c r="E43" s="663" t="n">
        <f aca="false">D43/$G$6</f>
        <v>0.00283988693926293</v>
      </c>
      <c r="F43" s="663" t="n">
        <f aca="false">F42+E43</f>
        <v>0.979475184468186</v>
      </c>
      <c r="G43" s="664" t="str">
        <f aca="false">IF(F43&lt;$E$8,$D$8,IF(F43&lt;$E$9,$D$9,$D$10))</f>
        <v>C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</row>
    <row r="44" s="65" customFormat="true" ht="35.25" hidden="false" customHeight="true" outlineLevel="0" collapsed="false">
      <c r="A44" s="659" t="s">
        <v>70</v>
      </c>
      <c r="B44" s="660" t="s">
        <v>547</v>
      </c>
      <c r="C44" s="661" t="s">
        <v>548</v>
      </c>
      <c r="D44" s="662" t="n">
        <v>480.94</v>
      </c>
      <c r="E44" s="663" t="n">
        <f aca="false">D44/$G$6</f>
        <v>0.0027713156898164</v>
      </c>
      <c r="F44" s="663" t="n">
        <f aca="false">F43+E44</f>
        <v>0.982246500158002</v>
      </c>
      <c r="G44" s="664" t="str">
        <f aca="false">IF(F44&lt;$E$8,$D$8,IF(F44&lt;$E$9,$D$9,$D$10))</f>
        <v>C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</row>
    <row r="45" s="65" customFormat="true" ht="35.25" hidden="false" customHeight="true" outlineLevel="0" collapsed="false">
      <c r="A45" s="659" t="s">
        <v>22</v>
      </c>
      <c r="B45" s="660" t="s">
        <v>309</v>
      </c>
      <c r="C45" s="661" t="s">
        <v>310</v>
      </c>
      <c r="D45" s="662" t="n">
        <v>412.99</v>
      </c>
      <c r="E45" s="663" t="n">
        <f aca="false">D45/$G$6</f>
        <v>0.00237976809318683</v>
      </c>
      <c r="F45" s="663" t="n">
        <f aca="false">F44+E45</f>
        <v>0.984626268251189</v>
      </c>
      <c r="G45" s="664" t="str">
        <f aca="false">IF(F45&lt;$E$8,$D$8,IF(F45&lt;$E$9,$D$9,$D$10))</f>
        <v>C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</row>
    <row r="46" s="65" customFormat="true" ht="35.25" hidden="false" customHeight="true" outlineLevel="0" collapsed="false">
      <c r="A46" s="659" t="s">
        <v>77</v>
      </c>
      <c r="B46" s="660" t="s">
        <v>552</v>
      </c>
      <c r="C46" s="661" t="s">
        <v>553</v>
      </c>
      <c r="D46" s="662" t="n">
        <v>385.37</v>
      </c>
      <c r="E46" s="663" t="n">
        <f aca="false">D46/$G$6</f>
        <v>0.00222061364699244</v>
      </c>
      <c r="F46" s="663" t="n">
        <f aca="false">F45+E46</f>
        <v>0.986846881898181</v>
      </c>
      <c r="G46" s="664" t="str">
        <f aca="false">IF(F46&lt;$E$8,$D$8,IF(F46&lt;$E$9,$D$9,$D$10))</f>
        <v>C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</row>
    <row r="47" s="65" customFormat="true" ht="35.25" hidden="false" customHeight="true" outlineLevel="0" collapsed="false">
      <c r="A47" s="659" t="s">
        <v>72</v>
      </c>
      <c r="B47" s="660" t="s">
        <v>550</v>
      </c>
      <c r="C47" s="661" t="s">
        <v>551</v>
      </c>
      <c r="D47" s="662" t="n">
        <v>351.65</v>
      </c>
      <c r="E47" s="663" t="n">
        <f aca="false">D47/$G$6</f>
        <v>0.00202630923259437</v>
      </c>
      <c r="F47" s="663" t="n">
        <f aca="false">F46+E47</f>
        <v>0.988873191130776</v>
      </c>
      <c r="G47" s="664" t="str">
        <f aca="false">IF(F47&lt;$E$8,$D$8,IF(F47&lt;$E$9,$D$9,$D$10))</f>
        <v>C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</row>
    <row r="48" customFormat="false" ht="35.25" hidden="false" customHeight="true" outlineLevel="0" collapsed="false">
      <c r="A48" s="659" t="s">
        <v>61</v>
      </c>
      <c r="B48" s="660" t="s">
        <v>515</v>
      </c>
      <c r="C48" s="661" t="s">
        <v>516</v>
      </c>
      <c r="D48" s="662" t="n">
        <v>242.18</v>
      </c>
      <c r="E48" s="663" t="n">
        <f aca="false">D48/$G$6</f>
        <v>0.00139551136058497</v>
      </c>
      <c r="F48" s="663" t="n">
        <f aca="false">F47+E48</f>
        <v>0.990268702491361</v>
      </c>
      <c r="G48" s="664" t="str">
        <f aca="false">IF(F48&lt;$E$8,$D$8,IF(F48&lt;$E$9,$D$9,$D$10))</f>
        <v>C</v>
      </c>
    </row>
    <row r="49" s="116" customFormat="true" ht="35.25" hidden="false" customHeight="true" outlineLevel="0" collapsed="false">
      <c r="A49" s="659" t="s">
        <v>25</v>
      </c>
      <c r="B49" s="660" t="s">
        <v>26</v>
      </c>
      <c r="C49" s="661" t="s">
        <v>27</v>
      </c>
      <c r="D49" s="662" t="n">
        <v>233.94</v>
      </c>
      <c r="E49" s="663" t="n">
        <f aca="false">D49/$G$6</f>
        <v>0.00134803009206065</v>
      </c>
      <c r="F49" s="663" t="n">
        <f aca="false">F48+E49</f>
        <v>0.991616732583421</v>
      </c>
      <c r="G49" s="664" t="str">
        <f aca="false">IF(F49&lt;$E$8,$D$8,IF(F49&lt;$E$9,$D$9,$D$10))</f>
        <v>C</v>
      </c>
      <c r="H49" s="114"/>
      <c r="I49" s="114"/>
      <c r="J49" s="114"/>
      <c r="K49" s="114"/>
      <c r="L49" s="114"/>
      <c r="M49" s="114"/>
      <c r="N49" s="114"/>
      <c r="O49" s="114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</row>
    <row r="50" customFormat="false" ht="30" hidden="false" customHeight="false" outlineLevel="0" collapsed="false">
      <c r="A50" s="659" t="s">
        <v>49</v>
      </c>
      <c r="B50" s="660" t="s">
        <v>433</v>
      </c>
      <c r="C50" s="661" t="s">
        <v>434</v>
      </c>
      <c r="D50" s="662" t="n">
        <v>229.5</v>
      </c>
      <c r="E50" s="663" t="n">
        <f aca="false">D50/$G$6</f>
        <v>0.00132244552504026</v>
      </c>
      <c r="F50" s="663" t="n">
        <f aca="false">F49+E50</f>
        <v>0.992939178108461</v>
      </c>
      <c r="G50" s="664" t="str">
        <f aca="false">IF(F50&lt;$E$8,$D$8,IF(F50&lt;$E$9,$D$9,$D$10))</f>
        <v>C</v>
      </c>
    </row>
    <row r="51" s="116" customFormat="true" ht="35.25" hidden="false" customHeight="true" outlineLevel="0" collapsed="false">
      <c r="A51" s="659" t="s">
        <v>69</v>
      </c>
      <c r="B51" s="660" t="s">
        <v>542</v>
      </c>
      <c r="C51" s="661" t="s">
        <v>543</v>
      </c>
      <c r="D51" s="662" t="n">
        <v>210.82</v>
      </c>
      <c r="E51" s="663" t="n">
        <f aca="false">D51/$G$6</f>
        <v>0.00121480595027881</v>
      </c>
      <c r="F51" s="663" t="n">
        <f aca="false">F50+E51</f>
        <v>0.99415398405874</v>
      </c>
      <c r="G51" s="664" t="str">
        <f aca="false">IF(F51&lt;$E$8,$D$8,IF(F51&lt;$E$9,$D$9,$D$10))</f>
        <v>C</v>
      </c>
      <c r="H51" s="114"/>
      <c r="I51" s="114"/>
      <c r="J51" s="114"/>
      <c r="K51" s="114"/>
      <c r="L51" s="114"/>
      <c r="M51" s="114"/>
      <c r="N51" s="114"/>
      <c r="O51" s="114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</row>
    <row r="52" s="116" customFormat="true" ht="35.25" hidden="false" customHeight="true" outlineLevel="0" collapsed="false">
      <c r="A52" s="659" t="s">
        <v>74</v>
      </c>
      <c r="B52" s="660" t="s">
        <v>581</v>
      </c>
      <c r="C52" s="661" t="s">
        <v>582</v>
      </c>
      <c r="D52" s="662" t="n">
        <v>192.47</v>
      </c>
      <c r="E52" s="663" t="n">
        <f aca="false">D52/$G$6</f>
        <v>0.00110906793117429</v>
      </c>
      <c r="F52" s="663" t="n">
        <f aca="false">F51+E52</f>
        <v>0.995263051989915</v>
      </c>
      <c r="G52" s="664" t="str">
        <f aca="false">IF(F52&lt;$E$8,$D$8,IF(F52&lt;$E$9,$D$9,$D$10))</f>
        <v>C</v>
      </c>
      <c r="H52" s="114"/>
      <c r="I52" s="114"/>
      <c r="J52" s="114"/>
      <c r="K52" s="114"/>
      <c r="L52" s="114"/>
      <c r="M52" s="114"/>
      <c r="N52" s="114"/>
      <c r="O52" s="114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</row>
    <row r="53" s="116" customFormat="true" ht="35.25" hidden="false" customHeight="true" outlineLevel="0" collapsed="false">
      <c r="A53" s="659" t="s">
        <v>59</v>
      </c>
      <c r="B53" s="660" t="s">
        <v>500</v>
      </c>
      <c r="C53" s="661" t="s">
        <v>501</v>
      </c>
      <c r="D53" s="662" t="n">
        <v>175.52</v>
      </c>
      <c r="E53" s="663" t="n">
        <f aca="false">D53/$G$6</f>
        <v>0.001011397117887</v>
      </c>
      <c r="F53" s="663" t="n">
        <f aca="false">F52+E53</f>
        <v>0.996274449107802</v>
      </c>
      <c r="G53" s="664" t="str">
        <f aca="false">IF(F53&lt;$E$8,$D$8,IF(F53&lt;$E$9,$D$9,$D$10))</f>
        <v>C</v>
      </c>
      <c r="H53" s="114"/>
      <c r="I53" s="114"/>
      <c r="J53" s="114"/>
      <c r="K53" s="114"/>
      <c r="L53" s="114"/>
      <c r="M53" s="114"/>
      <c r="N53" s="114"/>
      <c r="O53" s="114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</row>
    <row r="54" customFormat="false" ht="35.25" hidden="false" customHeight="true" outlineLevel="0" collapsed="false">
      <c r="A54" s="659" t="s">
        <v>85</v>
      </c>
      <c r="B54" s="660" t="s">
        <v>598</v>
      </c>
      <c r="C54" s="661" t="s">
        <v>599</v>
      </c>
      <c r="D54" s="662" t="n">
        <v>168</v>
      </c>
      <c r="E54" s="663" t="n">
        <f aca="false">D54/$G$6</f>
        <v>0.000968064698068688</v>
      </c>
      <c r="F54" s="665" t="n">
        <f aca="false">E54+F53</f>
        <v>0.99724251380587</v>
      </c>
      <c r="G54" s="664" t="str">
        <f aca="false">IF(F54&lt;$E$8,$D$8,IF(F54&lt;$E$9,$D$9,$D$10))</f>
        <v>C</v>
      </c>
    </row>
    <row r="55" customFormat="false" ht="35.25" hidden="false" customHeight="true" outlineLevel="0" collapsed="false">
      <c r="A55" s="659" t="s">
        <v>24</v>
      </c>
      <c r="B55" s="660" t="s">
        <v>319</v>
      </c>
      <c r="C55" s="661" t="s">
        <v>320</v>
      </c>
      <c r="D55" s="662" t="n">
        <v>147.04</v>
      </c>
      <c r="E55" s="663" t="n">
        <f aca="false">D55/$G$6</f>
        <v>0.00084728710240488</v>
      </c>
      <c r="F55" s="665" t="n">
        <f aca="false">E55+F54</f>
        <v>0.998089800908275</v>
      </c>
      <c r="G55" s="664" t="str">
        <f aca="false">IF(F55&lt;$E$8,$D$8,IF(F55&lt;$E$9,$D$9,$D$10))</f>
        <v>C</v>
      </c>
    </row>
    <row r="56" customFormat="false" ht="35.25" hidden="false" customHeight="true" outlineLevel="0" collapsed="false">
      <c r="A56" s="659" t="s">
        <v>47</v>
      </c>
      <c r="B56" s="660" t="s">
        <v>425</v>
      </c>
      <c r="C56" s="661" t="s">
        <v>426</v>
      </c>
      <c r="D56" s="662" t="n">
        <v>109.82</v>
      </c>
      <c r="E56" s="663" t="n">
        <f aca="false">D56/$G$6</f>
        <v>0.00063281467346371</v>
      </c>
      <c r="F56" s="665" t="n">
        <f aca="false">E56+F55</f>
        <v>0.998722615581739</v>
      </c>
      <c r="G56" s="664" t="str">
        <f aca="false">IF(F56&lt;$E$8,$D$8,IF(F56&lt;$E$9,$D$9,$D$10))</f>
        <v>C</v>
      </c>
    </row>
    <row r="57" customFormat="false" ht="35.25" hidden="false" customHeight="true" outlineLevel="0" collapsed="false">
      <c r="A57" s="659" t="s">
        <v>63</v>
      </c>
      <c r="B57" s="660" t="s">
        <v>523</v>
      </c>
      <c r="C57" s="661" t="s">
        <v>524</v>
      </c>
      <c r="D57" s="662" t="n">
        <v>82.37</v>
      </c>
      <c r="E57" s="663" t="n">
        <f aca="false">D57/$G$6</f>
        <v>0.00047463981654713</v>
      </c>
      <c r="F57" s="665" t="n">
        <f aca="false">E57+F56</f>
        <v>0.999197255398286</v>
      </c>
      <c r="G57" s="664" t="str">
        <f aca="false">IF(F57&lt;$E$8,$D$8,IF(F57&lt;$E$9,$D$9,$D$10))</f>
        <v>C</v>
      </c>
    </row>
    <row r="58" customFormat="false" ht="35.25" hidden="false" customHeight="true" outlineLevel="0" collapsed="false">
      <c r="A58" s="659" t="s">
        <v>60</v>
      </c>
      <c r="B58" s="660" t="s">
        <v>510</v>
      </c>
      <c r="C58" s="661" t="s">
        <v>511</v>
      </c>
      <c r="D58" s="662" t="n">
        <v>78.27</v>
      </c>
      <c r="E58" s="663" t="n">
        <f aca="false">D58/$G$6</f>
        <v>0.000451014428082358</v>
      </c>
      <c r="F58" s="665" t="n">
        <f aca="false">E58+F57</f>
        <v>0.999648269826368</v>
      </c>
      <c r="G58" s="664" t="str">
        <f aca="false">IF(F58&lt;$E$8,$D$8,IF(F58&lt;$E$9,$D$9,$D$10))</f>
        <v>C</v>
      </c>
    </row>
    <row r="59" customFormat="false" ht="35.25" hidden="false" customHeight="true" outlineLevel="0" collapsed="false">
      <c r="A59" s="659" t="s">
        <v>62</v>
      </c>
      <c r="B59" s="660" t="s">
        <v>519</v>
      </c>
      <c r="C59" s="661" t="s">
        <v>520</v>
      </c>
      <c r="D59" s="662" t="n">
        <v>26.91</v>
      </c>
      <c r="E59" s="663" t="n">
        <f aca="false">D59/$G$6</f>
        <v>0.000155063220387074</v>
      </c>
      <c r="F59" s="665" t="n">
        <f aca="false">E59+F58</f>
        <v>0.999803333046756</v>
      </c>
      <c r="G59" s="664" t="str">
        <f aca="false">IF(F59&lt;$E$8,$D$8,IF(F59&lt;$E$9,$D$9,$D$10))</f>
        <v>C</v>
      </c>
    </row>
    <row r="60" customFormat="false" ht="35.25" hidden="false" customHeight="true" outlineLevel="0" collapsed="false">
      <c r="A60" s="659" t="s">
        <v>46</v>
      </c>
      <c r="B60" s="660" t="s">
        <v>421</v>
      </c>
      <c r="C60" s="661" t="s">
        <v>422</v>
      </c>
      <c r="D60" s="662" t="n">
        <v>22.93</v>
      </c>
      <c r="E60" s="663" t="n">
        <f aca="false">D60/$G$6</f>
        <v>0.000132129306706637</v>
      </c>
      <c r="F60" s="665" t="n">
        <f aca="false">E60+F59</f>
        <v>0.999935462353462</v>
      </c>
      <c r="G60" s="664" t="str">
        <f aca="false">IF(F60&lt;$E$8,$D$8,IF(F60&lt;$E$9,$D$9,$D$10))</f>
        <v>C</v>
      </c>
    </row>
    <row r="61" customFormat="false" ht="35.25" hidden="false" customHeight="true" outlineLevel="0" collapsed="false">
      <c r="A61" s="659" t="s">
        <v>20</v>
      </c>
      <c r="B61" s="660" t="s">
        <v>305</v>
      </c>
      <c r="C61" s="661" t="s">
        <v>306</v>
      </c>
      <c r="D61" s="662" t="n">
        <v>9.76</v>
      </c>
      <c r="E61" s="663" t="n">
        <f aca="false">D61/$G$6</f>
        <v>5.62399491258952E-005</v>
      </c>
      <c r="F61" s="665" t="n">
        <f aca="false">E61+F60</f>
        <v>0.999991702302588</v>
      </c>
      <c r="G61" s="664" t="str">
        <f aca="false">IF(F61&lt;$E$8,$D$8,IF(F61&lt;$E$9,$D$9,$D$10))</f>
        <v>C</v>
      </c>
    </row>
    <row r="62" customFormat="false" ht="35.25" hidden="false" customHeight="true" outlineLevel="0" collapsed="false">
      <c r="A62" s="666" t="s">
        <v>23</v>
      </c>
      <c r="B62" s="667" t="s">
        <v>316</v>
      </c>
      <c r="C62" s="668" t="s">
        <v>317</v>
      </c>
      <c r="D62" s="669" t="n">
        <v>1.44</v>
      </c>
      <c r="E62" s="645" t="n">
        <f aca="false">D62/$G$6</f>
        <v>8.29769741201732E-006</v>
      </c>
      <c r="F62" s="670" t="n">
        <f aca="false">E62+F61</f>
        <v>1</v>
      </c>
      <c r="G62" s="671" t="str">
        <f aca="false">IF(F62&lt;$E$8,$D$8,IF(F62&lt;$E$9,$D$9,$D$10))</f>
        <v>C</v>
      </c>
    </row>
    <row r="64" customFormat="false" ht="15" hidden="false" customHeight="false" outlineLevel="0" collapsed="false">
      <c r="D64" s="6"/>
    </row>
    <row r="65" customFormat="false" ht="15" hidden="false" customHeight="false" outlineLevel="0" collapsed="false">
      <c r="D65" s="6"/>
    </row>
    <row r="66" customFormat="false" ht="15" hidden="false" customHeight="false" outlineLevel="0" collapsed="false">
      <c r="D66" s="6"/>
    </row>
  </sheetData>
  <mergeCells count="6">
    <mergeCell ref="A1:G2"/>
    <mergeCell ref="B3:G3"/>
    <mergeCell ref="B4:G4"/>
    <mergeCell ref="B5:G5"/>
    <mergeCell ref="A6:F6"/>
    <mergeCell ref="A7:C10"/>
  </mergeCells>
  <conditionalFormatting sqref="G12:G62">
    <cfRule type="cellIs" priority="2" operator="equal" aboveAverage="0" equalAverage="0" bottom="0" percent="0" rank="0" text="" dxfId="0">
      <formula>$D$8</formula>
    </cfRule>
  </conditionalFormatting>
  <conditionalFormatting sqref="G12:G62">
    <cfRule type="cellIs" priority="3" operator="equal" aboveAverage="0" equalAverage="0" bottom="0" percent="0" rank="0" text="" dxfId="1">
      <formula>$D$10</formula>
    </cfRule>
    <cfRule type="cellIs" priority="4" operator="equal" aboveAverage="0" equalAverage="0" bottom="0" percent="0" rank="0" text="" dxfId="2">
      <formula>$D$9</formula>
    </cfRule>
    <cfRule type="cellIs" priority="5" operator="equal" aboveAverage="0" equalAverage="0" bottom="0" percent="0" rank="0" text="" dxfId="3">
      <formula>$D$8</formula>
    </cfRule>
  </conditionalFormatting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LibreOffice/6.2.0.3$Windows_X86_64 LibreOffice_project/98c6a8a1c6c7b144ce3cc729e34964b47ce25d62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2006-09-25T12:47:36Z</dcterms:created>
  <dc:creator/>
  <dc:description/>
  <dc:language>pt-BR</dc:language>
  <cp:lastModifiedBy/>
  <dcterms:modified xsi:type="dcterms:W3CDTF">2020-05-29T19:56:11Z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